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 LAOS\Desktop\Taller de Capacitación\"/>
    </mc:Choice>
  </mc:AlternateContent>
  <workbookProtection workbookAlgorithmName="SHA-512" workbookHashValue="KlQTmYWaOJom5Ki+2fVIyEE3jrEe+p+48pn5Rqy+RWvJYjBTWQDCvB1mtxEaxm1Wc0GStyeSlQAWPLmiG1bMwA==" workbookSaltValue="3SoNLnnboj9//E+FP+7muQ==" workbookSpinCount="100000" lockStructure="1"/>
  <bookViews>
    <workbookView xWindow="0" yWindow="0" windowWidth="20490" windowHeight="7155" activeTab="1"/>
  </bookViews>
  <sheets>
    <sheet name="Carátula" sheetId="1" r:id="rId1"/>
    <sheet name="Inversiones" sheetId="2" r:id="rId2"/>
    <sheet name="Costo de Producción inicial" sheetId="3" r:id="rId3"/>
    <sheet name="Costo de Producción propuesto" sheetId="4" r:id="rId4"/>
    <sheet name=" Plan de Negocio" sheetId="5" r:id="rId5"/>
    <sheet name="Canvas" sheetId="6" r:id="rId6"/>
    <sheet name="Linea Base Ingresos" sheetId="7" r:id="rId7"/>
  </sheets>
  <definedNames>
    <definedName name="_IV100000" localSheetId="2">'Costo de Producción inicial'!#REF!</definedName>
    <definedName name="_IV100000">'Costo de Producción propuesto'!#REF!</definedName>
    <definedName name="_IV66000" localSheetId="2">'Costo de Producción inicial'!#REF!</definedName>
    <definedName name="_IV66000">'Costo de Producción propuesto'!#REF!</definedName>
    <definedName name="_IV67000" localSheetId="2">'Costo de Producción inicial'!#REF!</definedName>
    <definedName name="_IV67000">'Costo de Producción propuesto'!#REF!</definedName>
    <definedName name="_IV70000" localSheetId="2">'Costo de Producción inicial'!#REF!</definedName>
    <definedName name="_IV70000">'Costo de Producción propuesto'!#REF!</definedName>
    <definedName name="_xlnm.Print_Area" localSheetId="1">Inversiones!$A$1:$I$46</definedName>
    <definedName name="Z_2A80C2AF_315E_48B4_AB4B_22B0028E8CB4_.wvu.Rows" localSheetId="0" hidden="1">Carátula!$38:$41,Carátula!$48:$48</definedName>
  </definedNames>
  <calcPr calcId="152511"/>
  <customWorkbookViews>
    <customWorkbookView name="ome3 - Vista personalizada" guid="{2A80C2AF-315E-48B4-AB4B-22B0028E8CB4}" mergeInterval="0" personalView="1" maximized="1" xWindow="10" yWindow="33" windowWidth="624" windowHeight="323" activeSheetId="2"/>
  </customWorkbookViews>
</workbook>
</file>

<file path=xl/calcChain.xml><?xml version="1.0" encoding="utf-8"?>
<calcChain xmlns="http://schemas.openxmlformats.org/spreadsheetml/2006/main">
  <c r="D10" i="2" l="1"/>
  <c r="E76" i="3" l="1"/>
  <c r="F76" i="3" s="1"/>
  <c r="C18" i="2"/>
  <c r="E18" i="2" s="1"/>
  <c r="O4" i="6"/>
  <c r="O3" i="6"/>
  <c r="O14" i="6"/>
  <c r="O12" i="6"/>
  <c r="B4" i="6"/>
  <c r="B3" i="6"/>
  <c r="D45" i="4"/>
  <c r="F45" i="4" s="1"/>
  <c r="D46" i="4"/>
  <c r="D47" i="4"/>
  <c r="D48" i="4"/>
  <c r="F48" i="4" s="1"/>
  <c r="D49" i="4"/>
  <c r="D50" i="4"/>
  <c r="D51" i="4"/>
  <c r="F51" i="4" s="1"/>
  <c r="D52" i="4"/>
  <c r="F52" i="4" s="1"/>
  <c r="D53" i="4"/>
  <c r="F53" i="4" s="1"/>
  <c r="D54" i="4"/>
  <c r="D55" i="4"/>
  <c r="F55" i="4" s="1"/>
  <c r="D44" i="4"/>
  <c r="F44" i="4" s="1"/>
  <c r="F101" i="4"/>
  <c r="E221" i="5" s="1"/>
  <c r="E222" i="5" s="1"/>
  <c r="F100" i="4"/>
  <c r="R26" i="6" s="1"/>
  <c r="D75" i="4"/>
  <c r="D76" i="4"/>
  <c r="D77" i="4"/>
  <c r="D78" i="4"/>
  <c r="D79" i="4"/>
  <c r="F79" i="4" s="1"/>
  <c r="D80" i="4"/>
  <c r="F80" i="4" s="1"/>
  <c r="D81" i="4"/>
  <c r="D82" i="4"/>
  <c r="F82" i="4" s="1"/>
  <c r="D83" i="4"/>
  <c r="D74" i="4"/>
  <c r="D60" i="4"/>
  <c r="F60" i="4" s="1"/>
  <c r="D61" i="4"/>
  <c r="D62" i="4"/>
  <c r="D63" i="4"/>
  <c r="F63" i="4" s="1"/>
  <c r="D64" i="4"/>
  <c r="F64" i="4" s="1"/>
  <c r="D65" i="4"/>
  <c r="D66" i="4"/>
  <c r="D67" i="4"/>
  <c r="F67" i="4" s="1"/>
  <c r="D68" i="4"/>
  <c r="D69" i="4"/>
  <c r="D70" i="4"/>
  <c r="D59" i="4"/>
  <c r="R25" i="6"/>
  <c r="D107" i="4"/>
  <c r="E89" i="4"/>
  <c r="E76" i="4"/>
  <c r="F76" i="4" s="1"/>
  <c r="E77" i="4"/>
  <c r="E78" i="4"/>
  <c r="F78" i="4" s="1"/>
  <c r="E79" i="4"/>
  <c r="E80" i="4"/>
  <c r="E81" i="4"/>
  <c r="F81" i="4" s="1"/>
  <c r="E82" i="4"/>
  <c r="E83" i="4"/>
  <c r="F83" i="4" s="1"/>
  <c r="E75" i="4"/>
  <c r="C76" i="4"/>
  <c r="C77" i="4"/>
  <c r="C78" i="4"/>
  <c r="C79" i="4"/>
  <c r="C80" i="4"/>
  <c r="C81" i="4"/>
  <c r="C82" i="4"/>
  <c r="C83" i="4"/>
  <c r="C75" i="4"/>
  <c r="B76" i="4"/>
  <c r="B77" i="4"/>
  <c r="B78" i="4"/>
  <c r="B79" i="4"/>
  <c r="B80" i="4"/>
  <c r="B81" i="4"/>
  <c r="B82" i="4"/>
  <c r="B83" i="4"/>
  <c r="B75" i="4"/>
  <c r="E60" i="4"/>
  <c r="E61" i="4"/>
  <c r="E62" i="4"/>
  <c r="E63" i="4"/>
  <c r="E64" i="4"/>
  <c r="E65" i="4"/>
  <c r="F65" i="4" s="1"/>
  <c r="E66" i="4"/>
  <c r="E67" i="4"/>
  <c r="E68" i="4"/>
  <c r="E69" i="4"/>
  <c r="F69" i="4" s="1"/>
  <c r="E70" i="4"/>
  <c r="E59" i="4"/>
  <c r="C60" i="4"/>
  <c r="C61" i="4"/>
  <c r="C62" i="4"/>
  <c r="C63" i="4"/>
  <c r="C64" i="4"/>
  <c r="C65" i="4"/>
  <c r="C66" i="4"/>
  <c r="C67" i="4"/>
  <c r="C68" i="4"/>
  <c r="C69" i="4"/>
  <c r="C70" i="4"/>
  <c r="C59" i="4"/>
  <c r="B60" i="4"/>
  <c r="B61" i="4"/>
  <c r="B62" i="4"/>
  <c r="B63" i="4"/>
  <c r="B64" i="4"/>
  <c r="B65" i="4"/>
  <c r="B66" i="4"/>
  <c r="B67" i="4"/>
  <c r="B68" i="4"/>
  <c r="B69" i="4"/>
  <c r="B70" i="4"/>
  <c r="B59" i="4"/>
  <c r="E45" i="4"/>
  <c r="E46" i="4"/>
  <c r="E47" i="4"/>
  <c r="E48" i="4"/>
  <c r="E49" i="4"/>
  <c r="E50" i="4"/>
  <c r="F50" i="4" s="1"/>
  <c r="E51" i="4"/>
  <c r="E52" i="4"/>
  <c r="E53" i="4"/>
  <c r="E54" i="4"/>
  <c r="E55" i="4"/>
  <c r="E44" i="4"/>
  <c r="B45" i="4"/>
  <c r="B46" i="4"/>
  <c r="B47" i="4"/>
  <c r="B48" i="4"/>
  <c r="B49" i="4"/>
  <c r="B50" i="4"/>
  <c r="B51" i="4"/>
  <c r="B52" i="4"/>
  <c r="B53" i="4"/>
  <c r="B54" i="4"/>
  <c r="B55" i="4"/>
  <c r="B44" i="4"/>
  <c r="E32" i="4"/>
  <c r="E33" i="4" s="1"/>
  <c r="C22" i="4"/>
  <c r="C23" i="4" s="1"/>
  <c r="C24" i="4" s="1"/>
  <c r="C25" i="4" s="1"/>
  <c r="E101" i="4" s="1"/>
  <c r="C14" i="4"/>
  <c r="C17" i="4" s="1"/>
  <c r="F51" i="1" s="1"/>
  <c r="C15" i="4"/>
  <c r="C13" i="4"/>
  <c r="E212" i="5"/>
  <c r="F111" i="3"/>
  <c r="D104" i="3"/>
  <c r="F98" i="3"/>
  <c r="F108" i="3" s="1"/>
  <c r="E96" i="3"/>
  <c r="F85" i="3"/>
  <c r="H26" i="6" s="1"/>
  <c r="F79" i="3"/>
  <c r="F78" i="3"/>
  <c r="F77" i="3"/>
  <c r="F75" i="3"/>
  <c r="F74" i="3"/>
  <c r="F73" i="3"/>
  <c r="F72" i="3"/>
  <c r="F71" i="3"/>
  <c r="F66" i="3"/>
  <c r="F65" i="3"/>
  <c r="F64" i="3"/>
  <c r="F63" i="3"/>
  <c r="F62" i="3"/>
  <c r="F61" i="3"/>
  <c r="F60" i="3"/>
  <c r="F59" i="3"/>
  <c r="F58" i="3"/>
  <c r="F57" i="3"/>
  <c r="F56" i="3"/>
  <c r="F55" i="3"/>
  <c r="F67" i="3" s="1"/>
  <c r="E52" i="3"/>
  <c r="D52" i="3"/>
  <c r="F51" i="3"/>
  <c r="F50" i="3"/>
  <c r="F49" i="3"/>
  <c r="F48" i="3"/>
  <c r="F47" i="3"/>
  <c r="F46" i="3"/>
  <c r="F45" i="3"/>
  <c r="F44" i="3"/>
  <c r="F43" i="3"/>
  <c r="F42" i="3"/>
  <c r="F41" i="3"/>
  <c r="F40" i="3"/>
  <c r="E29" i="3"/>
  <c r="C19" i="3"/>
  <c r="C20" i="3" s="1"/>
  <c r="C21" i="3" s="1"/>
  <c r="E97" i="3" s="1"/>
  <c r="C13" i="3"/>
  <c r="C12" i="3"/>
  <c r="E11" i="3"/>
  <c r="E13" i="3" s="1"/>
  <c r="F212" i="5" s="1"/>
  <c r="E16" i="4"/>
  <c r="E4" i="3"/>
  <c r="M1" i="6"/>
  <c r="A254" i="5"/>
  <c r="F9" i="6"/>
  <c r="F8" i="6"/>
  <c r="F7" i="6"/>
  <c r="F6" i="6"/>
  <c r="F5" i="6"/>
  <c r="F4" i="6"/>
  <c r="F3" i="6"/>
  <c r="K154" i="5"/>
  <c r="F55" i="7"/>
  <c r="F54" i="7"/>
  <c r="G54" i="7"/>
  <c r="G53" i="7" s="1"/>
  <c r="F50" i="7"/>
  <c r="F51" i="7"/>
  <c r="G51" i="7" s="1"/>
  <c r="F52" i="7"/>
  <c r="G52" i="7"/>
  <c r="F49" i="7"/>
  <c r="G49" i="7" s="1"/>
  <c r="F47" i="7"/>
  <c r="F48" i="7"/>
  <c r="G48" i="7" s="1"/>
  <c r="F46" i="7"/>
  <c r="G46" i="7" s="1"/>
  <c r="F45" i="7"/>
  <c r="G45" i="7" s="1"/>
  <c r="G58" i="7"/>
  <c r="G59" i="7"/>
  <c r="G60" i="7"/>
  <c r="G61" i="7"/>
  <c r="G62" i="7"/>
  <c r="G57" i="7"/>
  <c r="G55" i="7"/>
  <c r="G47" i="7"/>
  <c r="G50" i="7"/>
  <c r="A52" i="7"/>
  <c r="A51" i="7"/>
  <c r="A50" i="7"/>
  <c r="A49" i="7"/>
  <c r="A48" i="7"/>
  <c r="A47" i="7"/>
  <c r="A46" i="7"/>
  <c r="A45" i="7"/>
  <c r="D54" i="7"/>
  <c r="D55" i="7" s="1"/>
  <c r="A55" i="7"/>
  <c r="A54" i="7"/>
  <c r="D42" i="7"/>
  <c r="B42" i="7"/>
  <c r="B33" i="7"/>
  <c r="B28" i="7"/>
  <c r="G22" i="7"/>
  <c r="G19" i="7"/>
  <c r="G26" i="7" s="1"/>
  <c r="A36" i="1"/>
  <c r="G31" i="1"/>
  <c r="C31" i="1"/>
  <c r="C30" i="1"/>
  <c r="G27" i="1"/>
  <c r="G26" i="1"/>
  <c r="C27" i="1"/>
  <c r="C26" i="1"/>
  <c r="G23" i="1"/>
  <c r="G22" i="1"/>
  <c r="G21" i="1"/>
  <c r="C22" i="1"/>
  <c r="C21" i="1"/>
  <c r="G20" i="1"/>
  <c r="C20" i="1"/>
  <c r="D12" i="1"/>
  <c r="J10" i="1"/>
  <c r="D10" i="1"/>
  <c r="R23" i="6"/>
  <c r="A42" i="1"/>
  <c r="B29" i="6"/>
  <c r="B27" i="6"/>
  <c r="B28" i="6"/>
  <c r="B26" i="6"/>
  <c r="B25" i="6"/>
  <c r="B24" i="6"/>
  <c r="B23" i="6"/>
  <c r="B22" i="6"/>
  <c r="B21" i="6"/>
  <c r="B20" i="6"/>
  <c r="E16" i="2"/>
  <c r="M21" i="6"/>
  <c r="M20" i="6"/>
  <c r="S15" i="6"/>
  <c r="S14" i="6"/>
  <c r="S13" i="6"/>
  <c r="S11" i="6"/>
  <c r="S10" i="6"/>
  <c r="S9" i="6"/>
  <c r="S8" i="6"/>
  <c r="S7" i="6"/>
  <c r="S6" i="6"/>
  <c r="S5" i="6"/>
  <c r="S4" i="6"/>
  <c r="S3" i="6"/>
  <c r="J3" i="6"/>
  <c r="E8" i="4"/>
  <c r="E31" i="2"/>
  <c r="E32" i="2"/>
  <c r="E33" i="2"/>
  <c r="E30" i="2"/>
  <c r="E29" i="2"/>
  <c r="E100" i="4"/>
  <c r="T25" i="6" s="1"/>
  <c r="T26" i="6" s="1"/>
  <c r="D108" i="4"/>
  <c r="C16" i="4"/>
  <c r="E17" i="2"/>
  <c r="E15" i="2"/>
  <c r="E14" i="2"/>
  <c r="E13" i="2"/>
  <c r="E12" i="2"/>
  <c r="E11" i="2"/>
  <c r="E10" i="2"/>
  <c r="D259" i="5" s="1"/>
  <c r="E259" i="5" s="1"/>
  <c r="F259" i="5" s="1"/>
  <c r="G259" i="5" s="1"/>
  <c r="H259" i="5" s="1"/>
  <c r="F54" i="4"/>
  <c r="F75" i="4"/>
  <c r="F61" i="4"/>
  <c r="F68" i="4"/>
  <c r="F102" i="4"/>
  <c r="F112" i="4" s="1"/>
  <c r="H137" i="5"/>
  <c r="I137" i="5"/>
  <c r="J137" i="5"/>
  <c r="G135" i="5"/>
  <c r="K135" i="5" s="1"/>
  <c r="G136" i="5"/>
  <c r="K136" i="5" s="1"/>
  <c r="G134" i="5"/>
  <c r="K134" i="5"/>
  <c r="H131" i="5"/>
  <c r="I131" i="5"/>
  <c r="J131" i="5"/>
  <c r="G129" i="5"/>
  <c r="K129" i="5" s="1"/>
  <c r="G130" i="5"/>
  <c r="K130" i="5" s="1"/>
  <c r="G128" i="5"/>
  <c r="I125" i="5"/>
  <c r="J125" i="5"/>
  <c r="G123" i="5"/>
  <c r="G124" i="5"/>
  <c r="K124" i="5" s="1"/>
  <c r="G122" i="5"/>
  <c r="I119" i="5"/>
  <c r="G117" i="5"/>
  <c r="K117" i="5" s="1"/>
  <c r="G118" i="5"/>
  <c r="K118" i="5" s="1"/>
  <c r="G116" i="5"/>
  <c r="H116" i="5" s="1"/>
  <c r="H119" i="5" s="1"/>
  <c r="H141" i="5" s="1"/>
  <c r="D16" i="1" s="1"/>
  <c r="G111" i="5"/>
  <c r="G112" i="5"/>
  <c r="K112" i="5"/>
  <c r="G110" i="5"/>
  <c r="G113" i="5" s="1"/>
  <c r="H284" i="5"/>
  <c r="H285" i="5" s="1"/>
  <c r="H45" i="1"/>
  <c r="D166" i="5"/>
  <c r="D170" i="5" s="1"/>
  <c r="D171" i="5" s="1"/>
  <c r="D154" i="5"/>
  <c r="D155" i="5" s="1"/>
  <c r="D159" i="5" s="1"/>
  <c r="D160" i="5" s="1"/>
  <c r="D161" i="5" s="1"/>
  <c r="D190" i="5" s="1"/>
  <c r="I41" i="5"/>
  <c r="H291" i="5"/>
  <c r="J37" i="1" s="1"/>
  <c r="A87" i="5"/>
  <c r="A86" i="5"/>
  <c r="I284" i="5"/>
  <c r="H299" i="5" s="1"/>
  <c r="J45" i="1"/>
  <c r="D239" i="5"/>
  <c r="A233" i="5"/>
  <c r="A232" i="5"/>
  <c r="A231" i="5"/>
  <c r="H199" i="5"/>
  <c r="I199" i="5"/>
  <c r="J199" i="5"/>
  <c r="H198" i="5"/>
  <c r="I198" i="5"/>
  <c r="J198" i="5"/>
  <c r="H197" i="5"/>
  <c r="I197" i="5"/>
  <c r="J197" i="5"/>
  <c r="H196" i="5"/>
  <c r="I196" i="5"/>
  <c r="J196" i="5"/>
  <c r="H195" i="5"/>
  <c r="I195" i="5"/>
  <c r="J195" i="5"/>
  <c r="H194" i="5"/>
  <c r="I194" i="5"/>
  <c r="J194" i="5"/>
  <c r="H193" i="5"/>
  <c r="I193" i="5"/>
  <c r="J193" i="5"/>
  <c r="H192" i="5"/>
  <c r="I192" i="5"/>
  <c r="J192" i="5"/>
  <c r="H191" i="5"/>
  <c r="I191" i="5"/>
  <c r="J191" i="5"/>
  <c r="H190" i="5"/>
  <c r="I190" i="5"/>
  <c r="J190" i="5"/>
  <c r="H189" i="5"/>
  <c r="I189" i="5"/>
  <c r="J189" i="5"/>
  <c r="H188" i="5"/>
  <c r="I188" i="5"/>
  <c r="J188" i="5"/>
  <c r="K188" i="5" s="1"/>
  <c r="H187" i="5"/>
  <c r="I187" i="5"/>
  <c r="J187" i="5"/>
  <c r="J186" i="5"/>
  <c r="I186" i="5"/>
  <c r="H186" i="5"/>
  <c r="G199" i="5"/>
  <c r="G198" i="5"/>
  <c r="K198" i="5" s="1"/>
  <c r="G197" i="5"/>
  <c r="G196" i="5"/>
  <c r="G195" i="5"/>
  <c r="G194" i="5"/>
  <c r="K194" i="5" s="1"/>
  <c r="G193" i="5"/>
  <c r="G192" i="5"/>
  <c r="G191" i="5"/>
  <c r="G190" i="5"/>
  <c r="G189" i="5"/>
  <c r="G188" i="5"/>
  <c r="G187" i="5"/>
  <c r="G186" i="5"/>
  <c r="E199" i="5"/>
  <c r="E198" i="5"/>
  <c r="E197" i="5"/>
  <c r="K197" i="5" s="1"/>
  <c r="E196" i="5"/>
  <c r="K196" i="5" s="1"/>
  <c r="E195" i="5"/>
  <c r="E194" i="5"/>
  <c r="E193" i="5"/>
  <c r="K193" i="5" s="1"/>
  <c r="E192" i="5"/>
  <c r="E191" i="5"/>
  <c r="E190" i="5"/>
  <c r="H293" i="5" s="1"/>
  <c r="J39" i="1" s="1"/>
  <c r="E189" i="5"/>
  <c r="E188" i="5"/>
  <c r="E187" i="5"/>
  <c r="H294" i="5" s="1"/>
  <c r="J40" i="1" s="1"/>
  <c r="D199" i="5"/>
  <c r="D198" i="5"/>
  <c r="D197" i="5"/>
  <c r="D196" i="5"/>
  <c r="D195" i="5"/>
  <c r="D194" i="5"/>
  <c r="D193" i="5"/>
  <c r="D192" i="5"/>
  <c r="D191" i="5"/>
  <c r="D189" i="5"/>
  <c r="D188" i="5"/>
  <c r="D187" i="5"/>
  <c r="D186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K179" i="5"/>
  <c r="K180" i="5"/>
  <c r="K178" i="5"/>
  <c r="K175" i="5"/>
  <c r="K176" i="5"/>
  <c r="K174" i="5"/>
  <c r="K171" i="5"/>
  <c r="K172" i="5"/>
  <c r="K170" i="5"/>
  <c r="K166" i="5"/>
  <c r="K167" i="5"/>
  <c r="K165" i="5"/>
  <c r="K160" i="5"/>
  <c r="K161" i="5"/>
  <c r="K162" i="5"/>
  <c r="K159" i="5"/>
  <c r="K155" i="5"/>
  <c r="K156" i="5"/>
  <c r="K150" i="5"/>
  <c r="K151" i="5"/>
  <c r="K149" i="5"/>
  <c r="G138" i="5"/>
  <c r="A147" i="5"/>
  <c r="A152" i="5" s="1"/>
  <c r="A157" i="5" s="1"/>
  <c r="A163" i="5" s="1"/>
  <c r="B139" i="5"/>
  <c r="B177" i="5" s="1"/>
  <c r="B138" i="5"/>
  <c r="B173" i="5" s="1"/>
  <c r="G139" i="5"/>
  <c r="K139" i="5" s="1"/>
  <c r="G213" i="5"/>
  <c r="G214" i="5"/>
  <c r="H214" i="5"/>
  <c r="E284" i="5" s="1"/>
  <c r="B133" i="5"/>
  <c r="B169" i="5" s="1"/>
  <c r="B132" i="5"/>
  <c r="B168" i="5"/>
  <c r="B127" i="5"/>
  <c r="B164" i="5" s="1"/>
  <c r="B121" i="5"/>
  <c r="B158" i="5"/>
  <c r="B115" i="5"/>
  <c r="B153" i="5" s="1"/>
  <c r="B109" i="5"/>
  <c r="B148" i="5" s="1"/>
  <c r="B126" i="5"/>
  <c r="B163" i="5" s="1"/>
  <c r="B120" i="5"/>
  <c r="B157" i="5"/>
  <c r="B114" i="5"/>
  <c r="B152" i="5" s="1"/>
  <c r="B108" i="5"/>
  <c r="B147" i="5"/>
  <c r="A114" i="5"/>
  <c r="A120" i="5" s="1"/>
  <c r="A126" i="5" s="1"/>
  <c r="A132" i="5" s="1"/>
  <c r="A138" i="5" s="1"/>
  <c r="A139" i="5" s="1"/>
  <c r="J113" i="5"/>
  <c r="E15" i="4"/>
  <c r="E17" i="4" s="1"/>
  <c r="F221" i="5" s="1"/>
  <c r="H125" i="5"/>
  <c r="K123" i="5"/>
  <c r="H113" i="5"/>
  <c r="K110" i="5"/>
  <c r="I113" i="5"/>
  <c r="F89" i="4"/>
  <c r="F46" i="4"/>
  <c r="F47" i="4"/>
  <c r="F49" i="4"/>
  <c r="E56" i="4"/>
  <c r="K192" i="5"/>
  <c r="G137" i="5"/>
  <c r="K137" i="5" s="1"/>
  <c r="K189" i="5"/>
  <c r="K111" i="5"/>
  <c r="K191" i="5"/>
  <c r="K199" i="5"/>
  <c r="F108" i="4"/>
  <c r="H37" i="1"/>
  <c r="F77" i="4"/>
  <c r="C23" i="1"/>
  <c r="E186" i="5" l="1"/>
  <c r="H295" i="5" s="1"/>
  <c r="J41" i="1" s="1"/>
  <c r="F70" i="4"/>
  <c r="F66" i="4"/>
  <c r="F62" i="4"/>
  <c r="G212" i="5"/>
  <c r="H36" i="1" s="1"/>
  <c r="E27" i="3"/>
  <c r="E30" i="3" s="1"/>
  <c r="F103" i="3"/>
  <c r="F59" i="4"/>
  <c r="F71" i="4" s="1"/>
  <c r="F23" i="4" s="1"/>
  <c r="E242" i="5" s="1"/>
  <c r="G242" i="5" s="1"/>
  <c r="J23" i="6" s="1"/>
  <c r="F52" i="3"/>
  <c r="F18" i="3" s="1"/>
  <c r="H22" i="6" s="1"/>
  <c r="G44" i="7"/>
  <c r="F222" i="5"/>
  <c r="G222" i="5" s="1"/>
  <c r="D69" i="5"/>
  <c r="F231" i="5"/>
  <c r="H212" i="5"/>
  <c r="J212" i="5" s="1"/>
  <c r="H292" i="5"/>
  <c r="J38" i="1" s="1"/>
  <c r="G131" i="5"/>
  <c r="K131" i="5" s="1"/>
  <c r="B38" i="7"/>
  <c r="H42" i="7" s="1"/>
  <c r="J284" i="5"/>
  <c r="F107" i="4"/>
  <c r="K190" i="5"/>
  <c r="G119" i="5"/>
  <c r="G141" i="5" s="1"/>
  <c r="E245" i="5"/>
  <c r="G245" i="5" s="1"/>
  <c r="J26" i="6" s="1"/>
  <c r="F115" i="4"/>
  <c r="Q21" i="6" s="1"/>
  <c r="E34" i="2"/>
  <c r="H14" i="6" s="1"/>
  <c r="E19" i="2"/>
  <c r="K186" i="5"/>
  <c r="D56" i="4"/>
  <c r="E31" i="4" s="1"/>
  <c r="F241" i="5" s="1"/>
  <c r="H44" i="1" s="1"/>
  <c r="I141" i="5"/>
  <c r="G56" i="7"/>
  <c r="F104" i="3"/>
  <c r="R27" i="6"/>
  <c r="E223" i="5"/>
  <c r="H42" i="1"/>
  <c r="E285" i="5"/>
  <c r="G221" i="5"/>
  <c r="J214" i="5"/>
  <c r="H213" i="5"/>
  <c r="J213" i="5" s="1"/>
  <c r="K195" i="5"/>
  <c r="K113" i="5"/>
  <c r="K128" i="5"/>
  <c r="F56" i="4"/>
  <c r="J116" i="5"/>
  <c r="J119" i="5" s="1"/>
  <c r="K116" i="5"/>
  <c r="E35" i="4"/>
  <c r="K187" i="5"/>
  <c r="K122" i="5"/>
  <c r="G125" i="5"/>
  <c r="K125" i="5" s="1"/>
  <c r="F19" i="3"/>
  <c r="E70" i="3"/>
  <c r="F70" i="3" s="1"/>
  <c r="F80" i="3" s="1"/>
  <c r="S20" i="6"/>
  <c r="S21" i="6" s="1"/>
  <c r="H69" i="5"/>
  <c r="D212" i="5"/>
  <c r="D213" i="5" s="1"/>
  <c r="D214" i="5" s="1"/>
  <c r="D221" i="5" s="1"/>
  <c r="H298" i="5" l="1"/>
  <c r="J44" i="1" s="1"/>
  <c r="E31" i="3"/>
  <c r="F223" i="5"/>
  <c r="F233" i="5" s="1"/>
  <c r="F232" i="5"/>
  <c r="D23" i="2"/>
  <c r="A284" i="5"/>
  <c r="H43" i="1" s="1"/>
  <c r="H13" i="6"/>
  <c r="G223" i="5"/>
  <c r="F254" i="5" s="1"/>
  <c r="K119" i="5"/>
  <c r="E34" i="4"/>
  <c r="G63" i="7"/>
  <c r="G64" i="7" s="1"/>
  <c r="D222" i="5"/>
  <c r="D223" i="5"/>
  <c r="D231" i="5" s="1"/>
  <c r="D232" i="5" s="1"/>
  <c r="D233" i="5" s="1"/>
  <c r="C238" i="5" s="1"/>
  <c r="D254" i="5"/>
  <c r="D253" i="5" s="1"/>
  <c r="H221" i="5"/>
  <c r="F284" i="5" s="1"/>
  <c r="J141" i="5"/>
  <c r="E309" i="5"/>
  <c r="H47" i="1" s="1"/>
  <c r="H16" i="6"/>
  <c r="F82" i="3"/>
  <c r="F20" i="3"/>
  <c r="H24" i="6" s="1"/>
  <c r="H23" i="6"/>
  <c r="E241" i="5"/>
  <c r="G241" i="5" s="1"/>
  <c r="E74" i="4"/>
  <c r="F74" i="4" s="1"/>
  <c r="F84" i="4" s="1"/>
  <c r="F24" i="4" s="1"/>
  <c r="E243" i="5" s="1"/>
  <c r="G243" i="5" s="1"/>
  <c r="J24" i="6" s="1"/>
  <c r="F22" i="4"/>
  <c r="E254" i="5"/>
  <c r="E253" i="5" s="1"/>
  <c r="H222" i="5"/>
  <c r="J222" i="5" s="1"/>
  <c r="J223" i="5" l="1"/>
  <c r="J221" i="5"/>
  <c r="E23" i="2"/>
  <c r="D260" i="5"/>
  <c r="F86" i="4"/>
  <c r="E90" i="4" s="1"/>
  <c r="F90" i="4" s="1"/>
  <c r="G240" i="5"/>
  <c r="J22" i="6"/>
  <c r="H16" i="1"/>
  <c r="F253" i="5"/>
  <c r="G254" i="5"/>
  <c r="E87" i="3"/>
  <c r="F87" i="3" s="1"/>
  <c r="H28" i="6" s="1"/>
  <c r="H21" i="6"/>
  <c r="E86" i="3"/>
  <c r="F86" i="3" s="1"/>
  <c r="K141" i="5"/>
  <c r="G284" i="5"/>
  <c r="E310" i="5" s="1"/>
  <c r="J48" i="1" s="1"/>
  <c r="H296" i="5"/>
  <c r="J42" i="1" s="1"/>
  <c r="H290" i="5"/>
  <c r="J36" i="1" s="1"/>
  <c r="R28" i="6" s="1"/>
  <c r="E91" i="4" l="1"/>
  <c r="F91" i="4" s="1"/>
  <c r="E247" i="5" s="1"/>
  <c r="G247" i="5" s="1"/>
  <c r="J28" i="6" s="1"/>
  <c r="E260" i="5"/>
  <c r="F23" i="2"/>
  <c r="F260" i="5" s="1"/>
  <c r="F89" i="3"/>
  <c r="H27" i="6"/>
  <c r="H25" i="6" s="1"/>
  <c r="H29" i="6" s="1"/>
  <c r="G253" i="5"/>
  <c r="H254" i="5"/>
  <c r="H253" i="5" s="1"/>
  <c r="E246" i="5"/>
  <c r="G246" i="5" s="1"/>
  <c r="F93" i="4"/>
  <c r="E257" i="5"/>
  <c r="J21" i="6"/>
  <c r="F257" i="5"/>
  <c r="F261" i="5" s="1"/>
  <c r="D257" i="5"/>
  <c r="J27" i="6" l="1"/>
  <c r="G244" i="5"/>
  <c r="E261" i="5"/>
  <c r="D261" i="5"/>
  <c r="G257" i="5"/>
  <c r="G261" i="5" s="1"/>
  <c r="F25" i="4"/>
  <c r="F26" i="4" s="1"/>
  <c r="F95" i="4"/>
  <c r="F21" i="3"/>
  <c r="F22" i="3" s="1"/>
  <c r="F91" i="3"/>
  <c r="F258" i="5" l="1"/>
  <c r="E258" i="5"/>
  <c r="E256" i="5" s="1"/>
  <c r="J25" i="6"/>
  <c r="D258" i="5"/>
  <c r="D262" i="5" s="1"/>
  <c r="G248" i="5"/>
  <c r="J29" i="6" s="1"/>
  <c r="H257" i="5"/>
  <c r="F105" i="3"/>
  <c r="F114" i="3" s="1"/>
  <c r="F109" i="3"/>
  <c r="F110" i="3" s="1"/>
  <c r="F112" i="3"/>
  <c r="F113" i="3" s="1"/>
  <c r="F116" i="4"/>
  <c r="F117" i="4" s="1"/>
  <c r="D40" i="2"/>
  <c r="E40" i="2" s="1"/>
  <c r="F109" i="4"/>
  <c r="F118" i="4" s="1"/>
  <c r="F113" i="4"/>
  <c r="F114" i="4" s="1"/>
  <c r="F115" i="3" l="1"/>
  <c r="E262" i="5"/>
  <c r="E263" i="5" s="1"/>
  <c r="E264" i="5" s="1"/>
  <c r="F119" i="4"/>
  <c r="D263" i="5"/>
  <c r="D264" i="5" s="1"/>
  <c r="G258" i="5"/>
  <c r="F262" i="5"/>
  <c r="F256" i="5"/>
  <c r="H261" i="5"/>
  <c r="H15" i="6"/>
  <c r="H17" i="6" s="1"/>
  <c r="F16" i="1"/>
  <c r="J16" i="1" s="1"/>
  <c r="C260" i="5"/>
  <c r="C256" i="5" s="1"/>
  <c r="B284" i="5"/>
  <c r="E313" i="5"/>
  <c r="D256" i="5"/>
  <c r="D265" i="5" l="1"/>
  <c r="E265" i="5"/>
  <c r="Q20" i="6"/>
  <c r="H51" i="1"/>
  <c r="F263" i="5"/>
  <c r="F264" i="5" s="1"/>
  <c r="C265" i="5"/>
  <c r="D284" i="5"/>
  <c r="H297" i="5"/>
  <c r="J43" i="1"/>
  <c r="H258" i="5"/>
  <c r="H256" i="5" s="1"/>
  <c r="G262" i="5"/>
  <c r="G256" i="5"/>
  <c r="F265" i="5" l="1"/>
  <c r="C273" i="5"/>
  <c r="E314" i="5" s="1"/>
  <c r="H52" i="1" s="1"/>
  <c r="H262" i="5"/>
  <c r="G263" i="5"/>
  <c r="G264" i="5" s="1"/>
  <c r="D266" i="5"/>
  <c r="E266" i="5" s="1"/>
  <c r="F266" i="5" s="1"/>
  <c r="G265" i="5" l="1"/>
  <c r="H263" i="5"/>
  <c r="H265" i="5" s="1"/>
  <c r="H264" i="5" l="1"/>
  <c r="C272" i="5"/>
  <c r="E312" i="5" s="1"/>
  <c r="H50" i="1" s="1"/>
  <c r="C271" i="5"/>
  <c r="E311" i="5" s="1"/>
  <c r="H49" i="1" s="1"/>
  <c r="G266" i="5"/>
  <c r="H266" i="5" s="1"/>
</calcChain>
</file>

<file path=xl/comments1.xml><?xml version="1.0" encoding="utf-8"?>
<comments xmlns="http://schemas.openxmlformats.org/spreadsheetml/2006/main">
  <authors>
    <author>ome3</author>
  </authors>
  <commentList>
    <comment ref="E221" authorId="0" shapeId="0">
      <text>
        <r>
          <rPr>
            <b/>
            <sz val="9"/>
            <color indexed="81"/>
            <rFont val="Tahoma"/>
            <family val="2"/>
          </rPr>
          <t>ome3: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<sst xmlns="http://schemas.openxmlformats.org/spreadsheetml/2006/main" count="873" uniqueCount="512">
  <si>
    <t>Código del Plan (Sede-Numero-Año)</t>
  </si>
  <si>
    <t>Región</t>
  </si>
  <si>
    <t>Provincia(s)</t>
  </si>
  <si>
    <t>Distrito(s)</t>
  </si>
  <si>
    <t>Centro Poblado</t>
  </si>
  <si>
    <t>Producto o servicio a promover:</t>
  </si>
  <si>
    <t xml:space="preserve">Programa Nacional </t>
  </si>
  <si>
    <t>Producto</t>
  </si>
  <si>
    <t>Sub Producto</t>
  </si>
  <si>
    <t>Productor</t>
  </si>
  <si>
    <t>Acopiador</t>
  </si>
  <si>
    <t>Comercializador</t>
  </si>
  <si>
    <t xml:space="preserve">RUC: </t>
  </si>
  <si>
    <t>Razón Social:</t>
  </si>
  <si>
    <t>Representante:</t>
  </si>
  <si>
    <t xml:space="preserve">Cargo: </t>
  </si>
  <si>
    <t xml:space="preserve">Dirección: </t>
  </si>
  <si>
    <t xml:space="preserve">Teléfono: </t>
  </si>
  <si>
    <t>Tipo de organización:</t>
  </si>
  <si>
    <t>Fecha de Fundación:</t>
  </si>
  <si>
    <t>Sector al que corresponde:</t>
  </si>
  <si>
    <t>Latitud</t>
  </si>
  <si>
    <t>Longitud</t>
  </si>
  <si>
    <t>RUC:</t>
  </si>
  <si>
    <t xml:space="preserve">Razón Social: </t>
  </si>
  <si>
    <t>Cargo:</t>
  </si>
  <si>
    <t>Persona de Contacto Comercial</t>
  </si>
  <si>
    <t>Dirección:</t>
  </si>
  <si>
    <t>Telefono:</t>
  </si>
  <si>
    <t>Correo electrónico:</t>
  </si>
  <si>
    <t>Partida Arancelaria</t>
  </si>
  <si>
    <t>Descripción Arancelaria</t>
  </si>
  <si>
    <t xml:space="preserve"> Nombre Comercial</t>
  </si>
  <si>
    <t>Adjuntar Ficha Técnica del Producto</t>
  </si>
  <si>
    <t>AÑO</t>
  </si>
  <si>
    <t>*Toneladas, quintales,kilos, soles, dólares</t>
  </si>
  <si>
    <t>*Toneladas, quintales, kilos, otros</t>
  </si>
  <si>
    <t>N°</t>
  </si>
  <si>
    <t>RUBRO</t>
  </si>
  <si>
    <t>Cantidad</t>
  </si>
  <si>
    <t>Ventas (S/.)</t>
  </si>
  <si>
    <t>Total</t>
  </si>
  <si>
    <t>Firma del Cliente</t>
  </si>
  <si>
    <t>Firma del Jefe de Sede</t>
  </si>
  <si>
    <t xml:space="preserve">Firma del Especialista </t>
  </si>
  <si>
    <t>Tipo de Actividad</t>
  </si>
  <si>
    <t>Unidad</t>
  </si>
  <si>
    <t>Sierra y Selva Exportadora</t>
  </si>
  <si>
    <t>Fuente de Financiamiento</t>
  </si>
  <si>
    <t>Asistencia Técnica</t>
  </si>
  <si>
    <t>Capacitaciones</t>
  </si>
  <si>
    <t>Otro (especificar)</t>
  </si>
  <si>
    <t>Cliente</t>
  </si>
  <si>
    <t>Otro</t>
  </si>
  <si>
    <t>Verifica</t>
  </si>
  <si>
    <t>Costo Total (S/.)</t>
  </si>
  <si>
    <t>Costo unitario (S/.)</t>
  </si>
  <si>
    <t>Ferias/ruedas de negocios</t>
  </si>
  <si>
    <t>Información correspondiente al cliente.</t>
  </si>
  <si>
    <t>Unidad de Medida</t>
  </si>
  <si>
    <t>Oferta Comercial (Volumen/Unidad de Medida / Año)</t>
  </si>
  <si>
    <t>Demanda Insatisfecha</t>
  </si>
  <si>
    <t>Precio Unitario (S/.)</t>
  </si>
  <si>
    <t>Tipo de Actividad/Rubro</t>
  </si>
  <si>
    <t>Contratación de gestor/consultor</t>
  </si>
  <si>
    <t>Cronograma</t>
  </si>
  <si>
    <t>I Trimestre</t>
  </si>
  <si>
    <t>II Trimestre</t>
  </si>
  <si>
    <t>III Trimestre</t>
  </si>
  <si>
    <t>IV Trimestre</t>
  </si>
  <si>
    <t>Ingreso Total (S/.)</t>
  </si>
  <si>
    <t>Jornal</t>
  </si>
  <si>
    <t>Global</t>
  </si>
  <si>
    <t>Para producir 01</t>
  </si>
  <si>
    <t xml:space="preserve">Total </t>
  </si>
  <si>
    <t>Ingresos</t>
  </si>
  <si>
    <t>Egresos</t>
  </si>
  <si>
    <t>Flujo de caja económico</t>
  </si>
  <si>
    <t>Rubro</t>
  </si>
  <si>
    <t>Año 1</t>
  </si>
  <si>
    <t xml:space="preserve">Año 2  </t>
  </si>
  <si>
    <t>Año 3</t>
  </si>
  <si>
    <t xml:space="preserve">Año 4 </t>
  </si>
  <si>
    <t>Año 5</t>
  </si>
  <si>
    <t>TIR</t>
  </si>
  <si>
    <t>VAN</t>
  </si>
  <si>
    <t>B/C</t>
  </si>
  <si>
    <t>Año 0</t>
  </si>
  <si>
    <t>Inversiones (S/.)</t>
  </si>
  <si>
    <t>Año Base</t>
  </si>
  <si>
    <t>Exportaciones</t>
  </si>
  <si>
    <t>Nacional</t>
  </si>
  <si>
    <t xml:space="preserve">Firma del Director de DDPNPP </t>
  </si>
  <si>
    <t>Ingreso total (S/)</t>
  </si>
  <si>
    <t>S/.</t>
  </si>
  <si>
    <t>Verifique</t>
  </si>
  <si>
    <t>Exportación</t>
  </si>
  <si>
    <t>Destino de Mercado (S/.)</t>
  </si>
  <si>
    <t>Incremental</t>
  </si>
  <si>
    <t>Inversiones apalancadas</t>
  </si>
  <si>
    <t>Exportaciones Fortalecidas</t>
  </si>
  <si>
    <t>UNIDAD</t>
  </si>
  <si>
    <t>Nro</t>
  </si>
  <si>
    <t>US$</t>
  </si>
  <si>
    <t>Valor</t>
  </si>
  <si>
    <t>Nro Beneficiarios</t>
  </si>
  <si>
    <t>Nro de Ferias</t>
  </si>
  <si>
    <t>Nro Capacitaciones</t>
  </si>
  <si>
    <t>N° Asistencia Técnica</t>
  </si>
  <si>
    <t>Empleos Fortalecidos Empleos</t>
  </si>
  <si>
    <t>Tipo de Cambio: 1 US$ = S/. 3.2</t>
  </si>
  <si>
    <t>Si</t>
  </si>
  <si>
    <t>No</t>
  </si>
  <si>
    <t>Adjunta Ficha Técnica</t>
  </si>
  <si>
    <t>Adjunta Lista de Beneficiarios</t>
  </si>
  <si>
    <t>-</t>
  </si>
  <si>
    <t>Varón</t>
  </si>
  <si>
    <t>Mujer</t>
  </si>
  <si>
    <t>Fecha Elaboración PN</t>
  </si>
  <si>
    <t>Otros (indicar)</t>
  </si>
  <si>
    <t>Transformación</t>
  </si>
  <si>
    <t>Marque con (X), en la cadena de valor, la actividad que realiza el cliente.</t>
  </si>
  <si>
    <t>N° de Beneficiarios (Según lista adjunta)</t>
  </si>
  <si>
    <t>Título del Plan de Negocio</t>
  </si>
  <si>
    <t>Localización de intervención</t>
  </si>
  <si>
    <t>Describa la(s) Actividade(s) a desarrollar.</t>
  </si>
  <si>
    <t>Tipo de Actividad/Tarea</t>
  </si>
  <si>
    <t>Productores agrarios que comercializan a través de planes de negocios (Beneficarios).*</t>
  </si>
  <si>
    <t>Productores/as agropecuarios/as organizados y gestionando empresarialmente sus organizaciones (Beneficiarios).*</t>
  </si>
  <si>
    <t>Participación en ferias locales, nacionales o internacionales de productores agropecuarios organizados.*</t>
  </si>
  <si>
    <t>Capacitaciones dirigidas a productores agropecuarios organizados.*</t>
  </si>
  <si>
    <t>Asistencia técnica dirigida a productores agropecuarios organizados.*</t>
  </si>
  <si>
    <t>*Indicadores relacionados al P.P.0121 "Mejora de la Articulacion de los Pequeños Productores al Mercado" y al producto 3000825: "Productores agropecuarios mejoran sus capacidades comerciales, gestionando empresarialmente hacia el mercado ".</t>
  </si>
  <si>
    <t>INDICADOR</t>
  </si>
  <si>
    <t>6. Otros (especifique)</t>
  </si>
  <si>
    <t>Nro.</t>
  </si>
  <si>
    <t>Sub Total</t>
  </si>
  <si>
    <t>4. Producción primaria (cultivos, crianzas) y/o en transformación</t>
  </si>
  <si>
    <t>5. Gestión de financiamiento</t>
  </si>
  <si>
    <t>Adjunta carta de Intención de compra</t>
  </si>
  <si>
    <t>Relación: costo/beneficiario menor a S/. 4,050 ( 1 UIT)</t>
  </si>
  <si>
    <t>Rubro/Indicador</t>
  </si>
  <si>
    <t>B/C &gt; 1</t>
  </si>
  <si>
    <t>Precio Unitario (S/.)**</t>
  </si>
  <si>
    <t>**Precio Promedio considerando porcentajes según calidades</t>
  </si>
  <si>
    <t>1. Costos Variables (directos)</t>
  </si>
  <si>
    <t>1.3. Otros costos variables</t>
  </si>
  <si>
    <t>2. Costos Fijos</t>
  </si>
  <si>
    <t>2.3 Costo Ventas y distribución (2% CV)</t>
  </si>
  <si>
    <t>Utilidad antes de impuestos</t>
  </si>
  <si>
    <t>Utilidad Neta</t>
  </si>
  <si>
    <t xml:space="preserve">*Fuente: SUNAT </t>
  </si>
  <si>
    <t xml:space="preserve">Adquisición de maquinarias </t>
  </si>
  <si>
    <t>ACTIVIDAD</t>
  </si>
  <si>
    <t>UNIDAD DE MEDIDA</t>
  </si>
  <si>
    <t>CANTIDAD</t>
  </si>
  <si>
    <t>COSTO TOTAL (S/.)</t>
  </si>
  <si>
    <t>COSTO UNITARIO (S/.)</t>
  </si>
  <si>
    <t>%</t>
  </si>
  <si>
    <t>*    No se considera Leyes Sociales.</t>
  </si>
  <si>
    <t>**   Mano de obra a todo costo.</t>
  </si>
  <si>
    <t>***  El precio promedio de venta se considera según calidades.</t>
  </si>
  <si>
    <t>Unidad de Producción</t>
  </si>
  <si>
    <t>N° Jornales / Unidad de Producción</t>
  </si>
  <si>
    <t>Porcentaje jornal mujer</t>
  </si>
  <si>
    <t>2.1. Costo Financiero/Depreciación/Certificación (10% CD)</t>
  </si>
  <si>
    <t xml:space="preserve">Cantidad </t>
  </si>
  <si>
    <t>Monto (S/.)</t>
  </si>
  <si>
    <t>1.2. Total materia prima e Insumos (según unidad de medida)</t>
  </si>
  <si>
    <t>1.1. Mano de obra directa (MOD)</t>
  </si>
  <si>
    <t>2.2. Costo Administrativo (3% CV)</t>
  </si>
  <si>
    <t xml:space="preserve">Costo total unitario indirecto </t>
  </si>
  <si>
    <t>Costo Total Unitario</t>
  </si>
  <si>
    <t>TOTAL COSTOS DIRECTOS</t>
  </si>
  <si>
    <t>TOTAL COSTOS INDIRECTOS</t>
  </si>
  <si>
    <t>N° Jornales Mujer</t>
  </si>
  <si>
    <t>N° Jornales Varón</t>
  </si>
  <si>
    <t>Porcentaje jornal varon</t>
  </si>
  <si>
    <t>Área / Tamaño de Producción / Lote</t>
  </si>
  <si>
    <t xml:space="preserve">Rendimiento (unidades de producción / área ó lote) </t>
  </si>
  <si>
    <t xml:space="preserve">Costo unitario de mano de obra </t>
  </si>
  <si>
    <t>Costo unitario de insumos y herramientas.</t>
  </si>
  <si>
    <t>Costo unitario de gastos generales</t>
  </si>
  <si>
    <t>Capital de trabajo</t>
  </si>
  <si>
    <t>Construcciones</t>
  </si>
  <si>
    <t>Terrenos</t>
  </si>
  <si>
    <t>Costo Unitario (S/.)</t>
  </si>
  <si>
    <t>Marketing / publicidad</t>
  </si>
  <si>
    <t>Otros</t>
  </si>
  <si>
    <t>Total área/Lote</t>
  </si>
  <si>
    <t>* Inversión inicial del cliente para el plan de negocio (puede ser valorizada)</t>
  </si>
  <si>
    <t>Complete información relacionada a las inversiones que realizará el cliente para el Plan de Negocio y únicamente en las celdas resaltadas de color amarillo.</t>
  </si>
  <si>
    <t>2.2  Datos del que Compra el Producto</t>
  </si>
  <si>
    <t>2.3  Otros compradores.</t>
  </si>
  <si>
    <t>3.1 Producto Principal del Plan de Negocio</t>
  </si>
  <si>
    <t>5.1. Detalle de Inversión por Actividades, según Fuente de Financiamiento.</t>
  </si>
  <si>
    <t>5.2. Detalle de Intervención, según Tareas (metas físicas).</t>
  </si>
  <si>
    <t>5.3. Resumen de Tareas</t>
  </si>
  <si>
    <t>6.1. Oferta del Producto</t>
  </si>
  <si>
    <t>6.2. Demanda del Producto</t>
  </si>
  <si>
    <t>6.2.1. Proyecte la demanda del cliente en los próximos tres años (volúmenes físicos):</t>
  </si>
  <si>
    <t>10.1 Linea Base  (al año anterior a la implementación del PN) y proyección para el año 2017</t>
  </si>
  <si>
    <t xml:space="preserve">10.2 Resultados proyectados, según indicadores. </t>
  </si>
  <si>
    <t>10.3. Resumen de Indicadores  y cumplimiento de requisitos del Plan de Negocio</t>
  </si>
  <si>
    <t>I. DATOS GENERALES.</t>
  </si>
  <si>
    <t>II. DATOS DEL QUE OFERTA EL PRODUCTO/ DEL QUE COMPRA EL PRODUCTO</t>
  </si>
  <si>
    <t>III. DESCRIPCION DEL PRODUCTO - OFERTA COMERCIAL</t>
  </si>
  <si>
    <t xml:space="preserve">IV. DE LA INTERVENCIÓN </t>
  </si>
  <si>
    <t>V. DESCRIPCION DE LA INTERVENCION DEL PLAN DE NEGOCIO</t>
  </si>
  <si>
    <t>VI.  ANALISIS DEL MERCADO</t>
  </si>
  <si>
    <t>VII. RESUMEN COSTO DE PRODUCCION</t>
  </si>
  <si>
    <t>VIII. FLUJO DE CAJA</t>
  </si>
  <si>
    <t>IX. ANÁLISIS ECONÓMICO</t>
  </si>
  <si>
    <t>X. INDICADORES DE RESULTADOS</t>
  </si>
  <si>
    <t>VALOR</t>
  </si>
  <si>
    <t>Monto (S/)</t>
  </si>
  <si>
    <t>2.1 Datos del que oferta el producto</t>
  </si>
  <si>
    <t>Expotador</t>
  </si>
  <si>
    <t>6.1.2 Proyección de la Oferta</t>
  </si>
  <si>
    <t>Cuadro N° 1: Detalle de Inversiones del Cliente</t>
  </si>
  <si>
    <t>Soles</t>
  </si>
  <si>
    <t>6.1.1 Fluctuación de volúmenes y precios en el mercado (de los tres últimos años)</t>
  </si>
  <si>
    <t>Año 2018</t>
  </si>
  <si>
    <t>Punto de equilibrio &lt; unidades ofertadas año 2018 (celda: G 220)</t>
  </si>
  <si>
    <t>Kg</t>
  </si>
  <si>
    <t>Flujo de caja económico acumulado</t>
  </si>
  <si>
    <t>4.1.1.</t>
  </si>
  <si>
    <t>4.1.1.1.</t>
  </si>
  <si>
    <t>4.1.1.2.</t>
  </si>
  <si>
    <t>4.1.1.3.</t>
  </si>
  <si>
    <t>4.1.1.4.</t>
  </si>
  <si>
    <t>4.1.1.5.</t>
  </si>
  <si>
    <t>4.1.1.6.</t>
  </si>
  <si>
    <t>4.1.1.7</t>
  </si>
  <si>
    <t>4.1.1.8.</t>
  </si>
  <si>
    <t>4.1.1.9.</t>
  </si>
  <si>
    <t>4.1.1.10.</t>
  </si>
  <si>
    <t>4.1.1.11.</t>
  </si>
  <si>
    <t>4.1.1.12.</t>
  </si>
  <si>
    <t>4.1.2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</si>
  <si>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</si>
  <si>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</si>
  <si>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</si>
  <si>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</si>
  <si>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</si>
  <si>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</si>
  <si>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</si>
  <si>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</si>
  <si>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</si>
  <si>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</si>
  <si>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</si>
  <si>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</si>
  <si>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4.1.3</t>
  </si>
  <si>
    <t>4.1.3.1</t>
  </si>
  <si>
    <t>4.1.3.2</t>
  </si>
  <si>
    <t>4.1.3.3</t>
  </si>
  <si>
    <t>4.1.3.4</t>
  </si>
  <si>
    <t>4.2.</t>
  </si>
  <si>
    <t>4.2.1.</t>
  </si>
  <si>
    <t>4.2.2.</t>
  </si>
  <si>
    <t>4.2.3.</t>
  </si>
  <si>
    <t>V.</t>
  </si>
  <si>
    <t>5.1.</t>
  </si>
  <si>
    <t>5.2.</t>
  </si>
  <si>
    <t>5.3.</t>
  </si>
  <si>
    <t>VI.</t>
  </si>
  <si>
    <t>6.1.</t>
  </si>
  <si>
    <t>VII.</t>
  </si>
  <si>
    <t>II.</t>
  </si>
  <si>
    <t>III.</t>
  </si>
  <si>
    <t xml:space="preserve">I. </t>
  </si>
  <si>
    <t>PARÁMETOS</t>
  </si>
  <si>
    <t>COSTO UNITARIO</t>
  </si>
  <si>
    <t>RESUMEN DE JORNALES</t>
  </si>
  <si>
    <t>IV.</t>
  </si>
  <si>
    <t xml:space="preserve">COSTO DE PRODUCCION </t>
  </si>
  <si>
    <t>Costos Directos (Variables)</t>
  </si>
  <si>
    <t>Mano de obra directa (MOD)</t>
  </si>
  <si>
    <t>Insumos y Herramientas</t>
  </si>
  <si>
    <t>Gastos generales (otros)</t>
  </si>
  <si>
    <t>Sub total mano de obra directa**</t>
  </si>
  <si>
    <t>Sub total insumos y herramientas</t>
  </si>
  <si>
    <t>Costos Indirectos (Fijos)</t>
  </si>
  <si>
    <t>Costo financiero/depreciación/certificaciones (10% CD)</t>
  </si>
  <si>
    <t>Costos de dirección y administración (3% CD)</t>
  </si>
  <si>
    <t>Costos de ventas y distribución (2% CD)</t>
  </si>
  <si>
    <t>Sub total gastos generales</t>
  </si>
  <si>
    <t>Costo Total de Producción.</t>
  </si>
  <si>
    <t>VALORIZACION DE LA PRODUCCIÓN</t>
  </si>
  <si>
    <t>UTILIDAD NETA</t>
  </si>
  <si>
    <t>ANALISIS ECONOMICO</t>
  </si>
  <si>
    <t>Valor Bruto de la Producción (S/.)</t>
  </si>
  <si>
    <t>Costo Total de la Produción (S/.)</t>
  </si>
  <si>
    <t>Utilidad Bruta de la Producción (S/.)</t>
  </si>
  <si>
    <t>Precio Promedio Venta Unitario (S/.)</t>
  </si>
  <si>
    <t>Costo de Producción Unitario (S/.)</t>
  </si>
  <si>
    <t>Margen de Utilidad Unitario (S/.)</t>
  </si>
  <si>
    <t>Utilidad Neta Estimada (S/.)</t>
  </si>
  <si>
    <t>Indice de Rentabilidad (%)</t>
  </si>
  <si>
    <t>Rendimiento Promedio</t>
  </si>
  <si>
    <t>Precio Promedio de Venta</t>
  </si>
  <si>
    <t>Utilidad Neta Estimada</t>
  </si>
  <si>
    <t>Imprevistos (2% CD)</t>
  </si>
  <si>
    <t>Cuadro N° 2: Detalle de Salarios (personal fijo)</t>
  </si>
  <si>
    <t>Cuadro N° 3: Detalle de capital de trabajo</t>
  </si>
  <si>
    <t>A. De las Inversiones/equipo de trabajo y capital de trabajo del cliente.</t>
  </si>
  <si>
    <t>Mobiliario / material de oficina</t>
  </si>
  <si>
    <t>Meses</t>
  </si>
  <si>
    <t>Pérdidas y/o mermas</t>
  </si>
  <si>
    <t>Ingreso bruto</t>
  </si>
  <si>
    <t>Venta Incremental</t>
  </si>
  <si>
    <t xml:space="preserve">Relación B/C </t>
  </si>
  <si>
    <t xml:space="preserve">Punto de equilibrio </t>
  </si>
  <si>
    <t>II. DATOS DEL CLIENTE</t>
  </si>
  <si>
    <t>C. FORMATO PLAN DE NEGOCIOS</t>
  </si>
  <si>
    <t>MODELO DE PLAN DE NEGOCIO:CANVAS</t>
  </si>
  <si>
    <t>Actividades Clave</t>
  </si>
  <si>
    <t>Propuesta de Valor</t>
  </si>
  <si>
    <t>Relaciones con los clientes</t>
  </si>
  <si>
    <t>Mercado Meta - Clientes</t>
  </si>
  <si>
    <t>Recursos Clave</t>
  </si>
  <si>
    <t>Canales de Distribución</t>
  </si>
  <si>
    <t>Estructura de Costos</t>
  </si>
  <si>
    <t>Título Plan de Negocio:</t>
  </si>
  <si>
    <t>1. Fortalecimiento organizacional / empresarial</t>
  </si>
  <si>
    <t>2. Estandarización / calidad / certificaciones</t>
  </si>
  <si>
    <t>3. Comercialización / mercados / marketing  /comercio exterior</t>
  </si>
  <si>
    <t>Socios Clave</t>
  </si>
  <si>
    <t>Fuente de Ingresos</t>
  </si>
  <si>
    <t>Contratos / seguros / licencias / certificaciones</t>
  </si>
  <si>
    <t>Producto:</t>
  </si>
  <si>
    <t>Soles (S/.)</t>
  </si>
  <si>
    <t>Fecha Elaboración PdN</t>
  </si>
  <si>
    <t>PLAN DE NEGOCIO</t>
  </si>
  <si>
    <t xml:space="preserve">TIR </t>
  </si>
  <si>
    <t>III. INDICADORES</t>
  </si>
  <si>
    <t>IV. COMPROMISOS Y CONSIDERACIONES FINALES</t>
  </si>
  <si>
    <t>Edad promedio jefe de familia</t>
  </si>
  <si>
    <t>30 – 35</t>
  </si>
  <si>
    <t>N° integrantes de la familia</t>
  </si>
  <si>
    <t>N° integrantes &gt; 15 años</t>
  </si>
  <si>
    <t>Educacion/cultura</t>
  </si>
  <si>
    <t>Nivel educativo del padre</t>
  </si>
  <si>
    <t>Primaria incompleta</t>
  </si>
  <si>
    <t>Nivel educativo hijos &gt; 15 años</t>
  </si>
  <si>
    <t>Secundaria incompleta</t>
  </si>
  <si>
    <t>Nivel educativo de la madre</t>
  </si>
  <si>
    <t>Idioma predominante</t>
  </si>
  <si>
    <t>Quechua, castellano</t>
  </si>
  <si>
    <t>Acceso a servicios básicos</t>
  </si>
  <si>
    <t>Agua potable</t>
  </si>
  <si>
    <t>Electricidad</t>
  </si>
  <si>
    <t>Tenencia de tierra</t>
  </si>
  <si>
    <t>Religión predominante</t>
  </si>
  <si>
    <t>Católica/evangélica</t>
  </si>
  <si>
    <t>Existencia organizaciones</t>
  </si>
  <si>
    <t>Tamaño unidad productiva</t>
  </si>
  <si>
    <t>Area (ha)</t>
  </si>
  <si>
    <t>Áreas de bosques</t>
  </si>
  <si>
    <t>Áreas de cultivos</t>
  </si>
  <si>
    <t xml:space="preserve">     Secano</t>
  </si>
  <si>
    <t xml:space="preserve">     Con riego</t>
  </si>
  <si>
    <t>Áreas de pasturas</t>
  </si>
  <si>
    <t xml:space="preserve">     Natural</t>
  </si>
  <si>
    <t xml:space="preserve">     Cultivado</t>
  </si>
  <si>
    <t>Áreas degradadas (abandonadas)</t>
  </si>
  <si>
    <t>Cultivo</t>
  </si>
  <si>
    <t>% destinado para venta</t>
  </si>
  <si>
    <t>Permanentes</t>
  </si>
  <si>
    <t>Frutales (palto entre  2 a 4 años)</t>
  </si>
  <si>
    <t>Transitorios</t>
  </si>
  <si>
    <t>Menestras</t>
  </si>
  <si>
    <t>Crianza</t>
  </si>
  <si>
    <t>Areas pastura (ha)</t>
  </si>
  <si>
    <t>N° cabezas</t>
  </si>
  <si>
    <t>(%) destinado para venta</t>
  </si>
  <si>
    <t>Animales menores</t>
  </si>
  <si>
    <t>Animales mayores</t>
  </si>
  <si>
    <t>Ingreso familiar promedio</t>
  </si>
  <si>
    <t>Ingreso promedio neto anual (S/.)**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</si>
  <si>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Productos agricolas y forestales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</si>
  <si>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Productos pecuarios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</si>
  <si>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10"/>
        <rFont val="Arial"/>
        <family val="2"/>
      </rPr>
      <t>Otras fuentes de Ingresos</t>
    </r>
  </si>
  <si>
    <t>Productos artesanales</t>
  </si>
  <si>
    <t>Serivicios turísticos</t>
  </si>
  <si>
    <t>Trabajo asalariado</t>
  </si>
  <si>
    <t>Programas sociales (Juntos)</t>
  </si>
  <si>
    <t>Remesas</t>
  </si>
  <si>
    <t>Total anual (S/.)</t>
  </si>
  <si>
    <t>Promedio mensual (S/.)</t>
  </si>
  <si>
    <t>ESPERADO</t>
  </si>
  <si>
    <t>BASE (INICIAL)</t>
  </si>
  <si>
    <t>Empleos Fortalecidos</t>
  </si>
  <si>
    <t>Relación: Costo/beneficiario</t>
  </si>
  <si>
    <t>Presupuesto</t>
  </si>
  <si>
    <t>Otro (Municipalidad)</t>
  </si>
  <si>
    <t>Monto de Financiamiento (S/.)</t>
  </si>
  <si>
    <t>Razón social:</t>
  </si>
  <si>
    <t>Ámbito de intervención:</t>
  </si>
  <si>
    <t>Sub Producto:</t>
  </si>
  <si>
    <t xml:space="preserve">Programa Nacional: </t>
  </si>
  <si>
    <t>Región:</t>
  </si>
  <si>
    <t>Distrito (s):</t>
  </si>
  <si>
    <t>Provincia (s):</t>
  </si>
  <si>
    <t>Centro Poblado (s):</t>
  </si>
  <si>
    <t>N° de socios:</t>
  </si>
  <si>
    <t xml:space="preserve">Valor bruto de producción (Ingreso promedio mensual de los productores agropecuarios) </t>
  </si>
  <si>
    <t>Ventas totales fortalecidas</t>
  </si>
  <si>
    <t>De la composición familiar</t>
  </si>
  <si>
    <t>Productos agroindustriales</t>
  </si>
  <si>
    <t>Acceso a capacitación</t>
  </si>
  <si>
    <t>Fuente: Fondo Nacional de Capacitación Laboral y Promoción del Empleio - FONDOEMPLEO</t>
  </si>
  <si>
    <t>Rendimiento (Kg/Ha)*</t>
  </si>
  <si>
    <t>Asistente administrativo</t>
  </si>
  <si>
    <t>Jefe de planta</t>
  </si>
  <si>
    <t>Asistente de planta</t>
  </si>
  <si>
    <t>Leche</t>
  </si>
  <si>
    <t>Pasteurización</t>
  </si>
  <si>
    <t>Elaboración de quesos</t>
  </si>
  <si>
    <t>Maduración</t>
  </si>
  <si>
    <t>Despacho</t>
  </si>
  <si>
    <t>Ventas</t>
  </si>
  <si>
    <t>Empaques</t>
  </si>
  <si>
    <t>Recepción</t>
  </si>
  <si>
    <t>4.1.3.5</t>
  </si>
  <si>
    <t>4.1.3.6</t>
  </si>
  <si>
    <t>4.1.3.7</t>
  </si>
  <si>
    <t>4.1.3.8</t>
  </si>
  <si>
    <t>Empaque final</t>
  </si>
  <si>
    <t>4.1.3.9</t>
  </si>
  <si>
    <t>4.1.3.10</t>
  </si>
  <si>
    <t>Gastos operativos</t>
  </si>
  <si>
    <t>Construcción y equipamiento</t>
  </si>
  <si>
    <t>ARE-2017-10</t>
  </si>
  <si>
    <t>Fortalecimiento de la cadena láctea en producción orgánica para la Cooperativa Agraria de Trabajadores 9 de Octubre La Pulpera.</t>
  </si>
  <si>
    <t>Arequipa</t>
  </si>
  <si>
    <t>Caylloma</t>
  </si>
  <si>
    <t>Yanque</t>
  </si>
  <si>
    <t>Quesos Madurados</t>
  </si>
  <si>
    <t>Derivados lácteos</t>
  </si>
  <si>
    <t>Queso maduro</t>
  </si>
  <si>
    <t>x</t>
  </si>
  <si>
    <t>Cooperativa Agraria de Trabajadores 9 de Octubre La Pulpera</t>
  </si>
  <si>
    <t>Samuel Onofre Maque</t>
  </si>
  <si>
    <t>Presidente</t>
  </si>
  <si>
    <t>Anexo La Pulpera s/n</t>
  </si>
  <si>
    <t>054-812077</t>
  </si>
  <si>
    <t>cat9deoctubrelapulpera@gmail.com</t>
  </si>
  <si>
    <t>Cooperativa.</t>
  </si>
  <si>
    <t>Agroindustrial</t>
  </si>
  <si>
    <t>Sociedad Gastronómica de Arequipa SAC</t>
  </si>
  <si>
    <t>Lucía Gutiérrez Osorio</t>
  </si>
  <si>
    <t>Gerente general</t>
  </si>
  <si>
    <t>0406.20.00.00</t>
  </si>
  <si>
    <t>Queso de cualquier tipo, rallado en polvo</t>
  </si>
  <si>
    <t>Queso madurado andino La Pulpera</t>
  </si>
  <si>
    <t>3.2. Otros productos que comercializa</t>
  </si>
  <si>
    <t>Queso tipo paria orgánico</t>
  </si>
  <si>
    <t>Yogurt orgánico</t>
  </si>
  <si>
    <t>Crecimiento del mercado de productos orgánicos y apertura comercial mediante el Programa de Quesos Madurados de Sierra y Selva Exportadora con la marca colectiva "TERRANDINA".</t>
  </si>
  <si>
    <t>Capacitación y asistencia técnica para la implementación de un sistema de trazabilidad en la producción de quesos madurados orgánicos.</t>
  </si>
  <si>
    <t>Deficiente logística de trazabilidad de la cadena productiva de quesos, desde la obtención de materia prima hasta la producción de quesos orgánicos, lo que limita el acceso a mercados de mayor capacidad adquisitiva.</t>
  </si>
  <si>
    <t>Mes</t>
  </si>
  <si>
    <r>
      <t xml:space="preserve">4.1. </t>
    </r>
    <r>
      <rPr>
        <b/>
        <u/>
        <sz val="12"/>
        <rFont val="Calibri"/>
        <family val="2"/>
      </rPr>
      <t>Problema (Debilidad/Cuello de Botella)</t>
    </r>
    <r>
      <rPr>
        <b/>
        <sz val="12"/>
        <rFont val="Calibri"/>
        <family val="2"/>
      </rPr>
      <t>: Señale el principal problema (cuello de botella) que limita el crecimiento de las ventas del cliente.</t>
    </r>
  </si>
  <si>
    <r>
      <t xml:space="preserve">4.2. </t>
    </r>
    <r>
      <rPr>
        <b/>
        <u/>
        <sz val="12"/>
        <rFont val="Calibri"/>
        <family val="2"/>
      </rPr>
      <t>Oportunidades</t>
    </r>
    <r>
      <rPr>
        <b/>
        <sz val="12"/>
        <rFont val="Calibri"/>
        <family val="2"/>
      </rPr>
      <t>: Señale la principal oportunidad para el crecimiento del negocio del cliente.</t>
    </r>
  </si>
  <si>
    <r>
      <t xml:space="preserve">4.3. </t>
    </r>
    <r>
      <rPr>
        <b/>
        <u/>
        <sz val="12"/>
        <color indexed="8"/>
        <rFont val="Calibri"/>
        <family val="2"/>
      </rPr>
      <t>Objetivo</t>
    </r>
    <r>
      <rPr>
        <b/>
        <sz val="12"/>
        <color indexed="8"/>
        <rFont val="Calibri"/>
        <family val="2"/>
      </rPr>
      <t>. Según la mejor oportunidad y problema (cuello de botella) del cliente descritos, identifique el principal objetivo para el plan de negocio:</t>
    </r>
  </si>
  <si>
    <r>
      <t>4.4. Defina la(s)</t>
    </r>
    <r>
      <rPr>
        <b/>
        <u/>
        <sz val="12"/>
        <color indexed="8"/>
        <rFont val="Calibri"/>
        <family val="2"/>
      </rPr>
      <t xml:space="preserve"> actividad</t>
    </r>
    <r>
      <rPr>
        <b/>
        <sz val="12"/>
        <color indexed="8"/>
        <rFont val="Calibri"/>
        <family val="2"/>
      </rPr>
      <t xml:space="preserve"> (es) y </t>
    </r>
    <r>
      <rPr>
        <b/>
        <u/>
        <sz val="12"/>
        <color indexed="8"/>
        <rFont val="Calibri"/>
        <family val="2"/>
      </rPr>
      <t>tarea(</t>
    </r>
    <r>
      <rPr>
        <b/>
        <sz val="12"/>
        <color indexed="8"/>
        <rFont val="Calibri"/>
        <family val="2"/>
      </rPr>
      <t>s)  priorizadas.</t>
    </r>
  </si>
  <si>
    <t>Producción Total (año 2018)</t>
  </si>
  <si>
    <t>Observación</t>
  </si>
  <si>
    <t>Inversión de aliados</t>
  </si>
  <si>
    <t>Inversiones</t>
  </si>
  <si>
    <t>Inversión en activos (del cliente)</t>
  </si>
  <si>
    <t>Salarios (del cliente)</t>
  </si>
  <si>
    <t>Capital de trabajo (del cliente)</t>
  </si>
  <si>
    <t>Productividad inicial</t>
  </si>
  <si>
    <t>Productividad propuesta</t>
  </si>
  <si>
    <t>Costo Propuesto (S/.)</t>
  </si>
  <si>
    <t>Costo Inicial (S/.)</t>
  </si>
  <si>
    <t>Municipalidad:</t>
  </si>
  <si>
    <t xml:space="preserve">Programa Presupuestal 0121:  Mejora de la articulación de Pequeños Productores Agropecuarios a los Mercados
</t>
  </si>
  <si>
    <t>Anexo 1: LINEA BASE DE INGRESOS DE FAMILIAS PRODUCTORAS</t>
  </si>
  <si>
    <t>Mejora en productividad</t>
  </si>
  <si>
    <t>Tipo de Mejora</t>
  </si>
  <si>
    <t>Porcentaje</t>
  </si>
  <si>
    <t>Incremento de productividad</t>
  </si>
  <si>
    <t>Incremento de Ingresos / Productor</t>
  </si>
  <si>
    <t>Indicadores</t>
  </si>
  <si>
    <t>B.1. De los Costos de Producción Propuesto.</t>
  </si>
  <si>
    <t>B. De los Costos de Producción Inicial.</t>
  </si>
  <si>
    <t>Mejora en el precio de venta del producto</t>
  </si>
  <si>
    <t>Lugar donde vende el producto:</t>
  </si>
  <si>
    <t>En planta</t>
  </si>
  <si>
    <t>Abastecimiento de quesos madurados de calidad</t>
  </si>
  <si>
    <t>Servicio que brinda al mercado (al comprador):</t>
  </si>
  <si>
    <t>Por el presente documento de acuerdo entre la Sierra y Selva Exportadora (SSE), representada por la Dirección y Desarrollo de Planes de Negocios y Proyectos Productivos (DDPNPP) y el Cliente con su representante detallado en el numeral II, queda el compromiso expreso que SSE brindará apoyo tecnico y/o comercial en los puntos considerados en el numeral 4.4.  " Actividades en atención a los problemas identificados ", a la vez el CLIENTE se compromete a brindar los reportes de ventas y datos complementarios requeridos (para la línea base y evaluación de resultados) por la Sede hasta un año posterior al termino de la duración del proyecto.
La Sede se compromete a no divulgar la informacion proporcionado por el Cliente ni darle otro tratamiento diferente al de construir los resultados consolidados a nivel regional y nacional.</t>
  </si>
  <si>
    <t>Costos Variables</t>
  </si>
  <si>
    <t>Costos Fijos</t>
  </si>
  <si>
    <t>Margen de Contribución</t>
  </si>
  <si>
    <t>Impuesto a la Renta</t>
  </si>
  <si>
    <t>Compra de leche * 90 días</t>
  </si>
  <si>
    <t>Fermentos</t>
  </si>
  <si>
    <t>Instalaciones y equipamiento</t>
  </si>
  <si>
    <t>Equipos y materiales</t>
  </si>
  <si>
    <t>Costo Financiero</t>
  </si>
  <si>
    <t xml:space="preserve">Año 3 </t>
  </si>
  <si>
    <t>Año 2</t>
  </si>
  <si>
    <t>Tasa anual (%)</t>
  </si>
  <si>
    <t>Depreciación</t>
  </si>
  <si>
    <t>Cámara de maduración u otros</t>
  </si>
  <si>
    <t>Ficha RUC (SUNAT)</t>
  </si>
  <si>
    <t>VAN (S/.)</t>
  </si>
  <si>
    <t>TIR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</si>
</sst>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S/.&quot;\ #,##0;[Red]&quot;S/.&quot;\ \-#,##0"/>
    <numFmt numFmtId="165" formatCode="_ * #,##0.00_ ;_ * \-#,##0.00_ ;_ * &quot;-&quot;??_ ;_ @_ "/>
    <numFmt numFmtId="166" formatCode="&quot;S/.&quot;\ #,##0.00"/>
    <numFmt numFmtId="167" formatCode="0.0"/>
    <numFmt numFmtId="168" formatCode="0.000"/>
    <numFmt numFmtId="169" formatCode="_ * #,##0_ ;_ * \-#,##0_ ;_ * &quot;-&quot;??_ ;_ @_ "/>
    <numFmt numFmtId="170" formatCode="_ * #,##0.0_ ;_ * \-#,##0.0_ ;_ * &quot;-&quot;??_ ;_ @_ "/>
  </numFmts>
  <fonts count="70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indexed="21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20"/>
      <name val="Calibri"/>
      <family val="2"/>
    </font>
    <font>
      <b/>
      <u/>
      <sz val="12"/>
      <color indexed="9"/>
      <name val="Calibri"/>
      <family val="2"/>
    </font>
    <font>
      <u/>
      <sz val="12"/>
      <color indexed="8"/>
      <name val="Calibri"/>
      <family val="2"/>
    </font>
    <font>
      <b/>
      <sz val="12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u/>
      <sz val="12"/>
      <color rgb="FF0000FF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365F9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u/>
      <sz val="10"/>
      <color rgb="FF0000FF"/>
      <name val="Calibri"/>
      <family val="2"/>
    </font>
    <font>
      <u/>
      <sz val="12"/>
      <color theme="10"/>
      <name val="Calibri"/>
      <family val="2"/>
    </font>
    <font>
      <sz val="9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5">
    <xf numFmtId="0" fontId="0" fillId="0" borderId="0" applyFill="0" applyProtection="0"/>
    <xf numFmtId="0" fontId="42" fillId="3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389">
    <xf numFmtId="0" fontId="0" fillId="0" borderId="0" xfId="0" applyFill="1" applyProtection="1"/>
    <xf numFmtId="0" fontId="0" fillId="2" borderId="0" xfId="0" applyFill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5" borderId="0" xfId="0" applyFill="1" applyProtection="1"/>
    <xf numFmtId="0" fontId="5" fillId="2" borderId="2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0" fillId="2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horizontal="right" vertical="center"/>
    </xf>
    <xf numFmtId="166" fontId="5" fillId="2" borderId="0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0" fillId="0" borderId="0" xfId="0"/>
    <xf numFmtId="165" fontId="0" fillId="0" borderId="0" xfId="3" applyFont="1"/>
    <xf numFmtId="165" fontId="15" fillId="0" borderId="0" xfId="0" applyNumberFormat="1" applyFont="1"/>
    <xf numFmtId="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5" fillId="6" borderId="6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center"/>
      <protection locked="0"/>
    </xf>
    <xf numFmtId="0" fontId="15" fillId="6" borderId="6" xfId="3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" fillId="0" borderId="0" xfId="0" applyFont="1" applyFill="1" applyProtection="1"/>
    <xf numFmtId="0" fontId="45" fillId="0" borderId="0" xfId="0" applyFont="1" applyFill="1" applyProtection="1"/>
    <xf numFmtId="0" fontId="46" fillId="7" borderId="9" xfId="0" applyFont="1" applyFill="1" applyBorder="1" applyAlignment="1" applyProtection="1">
      <alignment horizontal="center" vertical="center" wrapText="1"/>
    </xf>
    <xf numFmtId="0" fontId="46" fillId="7" borderId="4" xfId="0" applyFont="1" applyFill="1" applyBorder="1" applyAlignment="1" applyProtection="1">
      <alignment horizontal="center" vertical="center" wrapText="1"/>
    </xf>
    <xf numFmtId="0" fontId="46" fillId="7" borderId="10" xfId="0" applyFont="1" applyFill="1" applyBorder="1" applyAlignment="1" applyProtection="1">
      <alignment horizontal="center" vertical="center"/>
    </xf>
    <xf numFmtId="0" fontId="46" fillId="7" borderId="10" xfId="0" applyFont="1" applyFill="1" applyBorder="1" applyAlignment="1" applyProtection="1">
      <alignment horizontal="center" vertical="center" wrapText="1"/>
    </xf>
    <xf numFmtId="0" fontId="47" fillId="7" borderId="6" xfId="0" applyFont="1" applyFill="1" applyBorder="1" applyAlignment="1" applyProtection="1">
      <alignment horizontal="center" vertical="center"/>
    </xf>
    <xf numFmtId="165" fontId="47" fillId="7" borderId="6" xfId="0" applyNumberFormat="1" applyFont="1" applyFill="1" applyBorder="1" applyAlignment="1" applyProtection="1">
      <alignment horizontal="center" vertical="center" wrapText="1"/>
    </xf>
    <xf numFmtId="0" fontId="46" fillId="7" borderId="11" xfId="0" applyFont="1" applyFill="1" applyBorder="1" applyAlignment="1" applyProtection="1">
      <alignment horizontal="center" vertical="center"/>
    </xf>
    <xf numFmtId="0" fontId="0" fillId="0" borderId="0" xfId="0" applyFill="1"/>
    <xf numFmtId="0" fontId="15" fillId="0" borderId="6" xfId="0" applyFont="1" applyFill="1" applyBorder="1" applyAlignment="1" applyProtection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48" fillId="8" borderId="12" xfId="0" applyFont="1" applyFill="1" applyBorder="1" applyAlignment="1">
      <alignment horizontal="center"/>
    </xf>
    <xf numFmtId="0" fontId="48" fillId="8" borderId="13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/>
    <xf numFmtId="0" fontId="1" fillId="0" borderId="0" xfId="0" applyFont="1" applyProtection="1">
      <protection locked="0"/>
    </xf>
    <xf numFmtId="0" fontId="18" fillId="0" borderId="0" xfId="0" applyFont="1"/>
    <xf numFmtId="0" fontId="19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14" xfId="0" applyFont="1" applyBorder="1"/>
    <xf numFmtId="0" fontId="19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14" xfId="0" applyFont="1" applyBorder="1"/>
    <xf numFmtId="0" fontId="1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43" fillId="9" borderId="15" xfId="0" applyFont="1" applyFill="1" applyBorder="1" applyAlignment="1"/>
    <xf numFmtId="0" fontId="43" fillId="9" borderId="16" xfId="0" applyFont="1" applyFill="1" applyBorder="1" applyAlignment="1"/>
    <xf numFmtId="0" fontId="9" fillId="0" borderId="17" xfId="0" applyFont="1" applyBorder="1"/>
    <xf numFmtId="0" fontId="13" fillId="0" borderId="6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167" fontId="49" fillId="6" borderId="6" xfId="0" applyNumberFormat="1" applyFont="1" applyFill="1" applyBorder="1" applyAlignment="1" applyProtection="1">
      <alignment horizontal="center" vertical="center"/>
      <protection locked="0"/>
    </xf>
    <xf numFmtId="1" fontId="49" fillId="6" borderId="6" xfId="3" applyNumberFormat="1" applyFont="1" applyFill="1" applyBorder="1" applyAlignment="1" applyProtection="1">
      <alignment horizontal="center"/>
      <protection locked="0"/>
    </xf>
    <xf numFmtId="169" fontId="49" fillId="0" borderId="18" xfId="3" applyNumberFormat="1" applyFont="1" applyBorder="1" applyAlignment="1"/>
    <xf numFmtId="0" fontId="13" fillId="6" borderId="6" xfId="0" applyFont="1" applyFill="1" applyBorder="1" applyAlignment="1" applyProtection="1">
      <alignment horizontal="center"/>
      <protection locked="0"/>
    </xf>
    <xf numFmtId="0" fontId="13" fillId="6" borderId="6" xfId="0" applyNumberFormat="1" applyFont="1" applyFill="1" applyBorder="1" applyAlignment="1" applyProtection="1">
      <alignment horizontal="center"/>
      <protection locked="0"/>
    </xf>
    <xf numFmtId="165" fontId="13" fillId="0" borderId="18" xfId="0" applyNumberFormat="1" applyFont="1" applyBorder="1" applyAlignment="1"/>
    <xf numFmtId="0" fontId="13" fillId="6" borderId="6" xfId="0" applyFont="1" applyFill="1" applyBorder="1" applyAlignment="1" applyProtection="1">
      <alignment horizontal="center" vertical="center"/>
      <protection locked="0"/>
    </xf>
    <xf numFmtId="0" fontId="13" fillId="6" borderId="6" xfId="3" applyNumberFormat="1" applyFont="1" applyFill="1" applyBorder="1" applyAlignment="1" applyProtection="1">
      <alignment horizontal="center"/>
      <protection locked="0"/>
    </xf>
    <xf numFmtId="169" fontId="13" fillId="0" borderId="18" xfId="0" applyNumberFormat="1" applyFont="1" applyBorder="1" applyAlignment="1"/>
    <xf numFmtId="0" fontId="13" fillId="6" borderId="6" xfId="0" applyFont="1" applyFill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4" xfId="0" applyFont="1" applyBorder="1"/>
    <xf numFmtId="167" fontId="13" fillId="0" borderId="6" xfId="0" applyNumberFormat="1" applyFont="1" applyBorder="1" applyAlignment="1">
      <alignment horizontal="center"/>
    </xf>
    <xf numFmtId="169" fontId="13" fillId="0" borderId="18" xfId="0" applyNumberFormat="1" applyFont="1" applyBorder="1" applyAlignment="1">
      <alignment horizontal="center"/>
    </xf>
    <xf numFmtId="169" fontId="12" fillId="0" borderId="14" xfId="3" applyNumberFormat="1" applyFont="1" applyBorder="1"/>
    <xf numFmtId="0" fontId="48" fillId="9" borderId="15" xfId="0" applyFont="1" applyFill="1" applyBorder="1"/>
    <xf numFmtId="0" fontId="50" fillId="9" borderId="16" xfId="0" applyFont="1" applyFill="1" applyBorder="1" applyAlignment="1">
      <alignment horizontal="center"/>
    </xf>
    <xf numFmtId="0" fontId="50" fillId="9" borderId="16" xfId="0" applyFont="1" applyFill="1" applyBorder="1"/>
    <xf numFmtId="0" fontId="50" fillId="9" borderId="19" xfId="0" applyFont="1" applyFill="1" applyBorder="1"/>
    <xf numFmtId="165" fontId="13" fillId="0" borderId="6" xfId="3" applyNumberFormat="1" applyFont="1" applyBorder="1" applyAlignment="1">
      <alignment horizontal="center" vertical="center"/>
    </xf>
    <xf numFmtId="1" fontId="13" fillId="0" borderId="18" xfId="3" applyNumberFormat="1" applyFont="1" applyBorder="1" applyAlignment="1">
      <alignment horizontal="center"/>
    </xf>
    <xf numFmtId="1" fontId="13" fillId="0" borderId="6" xfId="3" applyNumberFormat="1" applyFont="1" applyBorder="1" applyAlignment="1">
      <alignment horizontal="center"/>
    </xf>
    <xf numFmtId="169" fontId="13" fillId="0" borderId="0" xfId="3" applyNumberFormat="1" applyFont="1" applyBorder="1" applyAlignment="1">
      <alignment horizontal="center" vertical="center"/>
    </xf>
    <xf numFmtId="1" fontId="13" fillId="0" borderId="0" xfId="3" applyNumberFormat="1" applyFont="1" applyBorder="1" applyAlignment="1">
      <alignment horizontal="center"/>
    </xf>
    <xf numFmtId="1" fontId="13" fillId="0" borderId="14" xfId="3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48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13" fillId="0" borderId="6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169" fontId="13" fillId="0" borderId="21" xfId="3" applyNumberFormat="1" applyFont="1" applyBorder="1" applyAlignment="1"/>
    <xf numFmtId="2" fontId="13" fillId="0" borderId="0" xfId="0" applyNumberFormat="1" applyFont="1"/>
    <xf numFmtId="0" fontId="48" fillId="9" borderId="22" xfId="0" applyFont="1" applyFill="1" applyBorder="1"/>
    <xf numFmtId="0" fontId="50" fillId="9" borderId="23" xfId="0" applyFont="1" applyFill="1" applyBorder="1" applyAlignment="1">
      <alignment horizontal="center"/>
    </xf>
    <xf numFmtId="0" fontId="50" fillId="9" borderId="23" xfId="0" applyFont="1" applyFill="1" applyBorder="1"/>
    <xf numFmtId="2" fontId="50" fillId="9" borderId="24" xfId="0" applyNumberFormat="1" applyFont="1" applyFill="1" applyBorder="1"/>
    <xf numFmtId="0" fontId="48" fillId="0" borderId="25" xfId="0" applyFont="1" applyFill="1" applyBorder="1"/>
    <xf numFmtId="0" fontId="50" fillId="0" borderId="25" xfId="0" applyFont="1" applyFill="1" applyBorder="1" applyAlignment="1">
      <alignment horizontal="center"/>
    </xf>
    <xf numFmtId="0" fontId="50" fillId="0" borderId="25" xfId="0" applyFont="1" applyFill="1" applyBorder="1"/>
    <xf numFmtId="169" fontId="13" fillId="0" borderId="26" xfId="3" applyNumberFormat="1" applyFont="1" applyBorder="1"/>
    <xf numFmtId="0" fontId="13" fillId="0" borderId="12" xfId="0" applyFont="1" applyBorder="1" applyAlignment="1"/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/>
    <xf numFmtId="169" fontId="13" fillId="0" borderId="21" xfId="3" applyNumberFormat="1" applyFont="1" applyBorder="1"/>
    <xf numFmtId="0" fontId="43" fillId="9" borderId="28" xfId="0" applyFont="1" applyFill="1" applyBorder="1"/>
    <xf numFmtId="0" fontId="43" fillId="0" borderId="0" xfId="0" applyFont="1" applyFill="1" applyBorder="1"/>
    <xf numFmtId="165" fontId="0" fillId="0" borderId="0" xfId="0" applyNumberFormat="1" applyFill="1" applyBorder="1"/>
    <xf numFmtId="0" fontId="9" fillId="0" borderId="29" xfId="0" applyFont="1" applyBorder="1" applyAlignment="1">
      <alignment horizontal="left"/>
    </xf>
    <xf numFmtId="0" fontId="43" fillId="9" borderId="19" xfId="0" applyFont="1" applyFill="1" applyBorder="1" applyAlignment="1"/>
    <xf numFmtId="0" fontId="51" fillId="0" borderId="17" xfId="0" applyFont="1" applyBorder="1"/>
    <xf numFmtId="0" fontId="52" fillId="0" borderId="0" xfId="0" applyFont="1" applyBorder="1"/>
    <xf numFmtId="0" fontId="52" fillId="0" borderId="14" xfId="0" applyFont="1" applyBorder="1"/>
    <xf numFmtId="0" fontId="43" fillId="8" borderId="7" xfId="0" applyFont="1" applyFill="1" applyBorder="1" applyAlignment="1">
      <alignment vertical="center"/>
    </xf>
    <xf numFmtId="0" fontId="43" fillId="8" borderId="6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left"/>
    </xf>
    <xf numFmtId="0" fontId="49" fillId="0" borderId="6" xfId="0" applyFont="1" applyBorder="1" applyAlignment="1"/>
    <xf numFmtId="0" fontId="52" fillId="0" borderId="29" xfId="0" applyFont="1" applyBorder="1" applyAlignment="1">
      <alignment horizontal="left"/>
    </xf>
    <xf numFmtId="0" fontId="49" fillId="0" borderId="20" xfId="0" applyFont="1" applyBorder="1" applyAlignment="1"/>
    <xf numFmtId="0" fontId="51" fillId="0" borderId="0" xfId="0" applyFont="1"/>
    <xf numFmtId="0" fontId="49" fillId="0" borderId="0" xfId="0" applyFont="1" applyBorder="1"/>
    <xf numFmtId="0" fontId="53" fillId="0" borderId="0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43" fillId="9" borderId="28" xfId="0" applyNumberFormat="1" applyFont="1" applyFill="1" applyBorder="1" applyAlignment="1">
      <alignment horizontal="left"/>
    </xf>
    <xf numFmtId="0" fontId="43" fillId="9" borderId="30" xfId="0" applyNumberFormat="1" applyFont="1" applyFill="1" applyBorder="1" applyAlignment="1">
      <alignment horizontal="left"/>
    </xf>
    <xf numFmtId="0" fontId="42" fillId="9" borderId="30" xfId="0" applyNumberFormat="1" applyFont="1" applyFill="1" applyBorder="1" applyAlignment="1">
      <alignment horizontal="center"/>
    </xf>
    <xf numFmtId="0" fontId="42" fillId="9" borderId="31" xfId="0" applyNumberFormat="1" applyFont="1" applyFill="1" applyBorder="1" applyAlignment="1">
      <alignment horizontal="center"/>
    </xf>
    <xf numFmtId="0" fontId="42" fillId="9" borderId="32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 vertical="center" wrapText="1"/>
    </xf>
    <xf numFmtId="0" fontId="43" fillId="8" borderId="6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left"/>
    </xf>
    <xf numFmtId="0" fontId="49" fillId="0" borderId="6" xfId="0" applyFont="1" applyBorder="1"/>
    <xf numFmtId="2" fontId="49" fillId="0" borderId="6" xfId="0" applyNumberFormat="1" applyFont="1" applyFill="1" applyBorder="1" applyAlignment="1">
      <alignment horizontal="center"/>
    </xf>
    <xf numFmtId="0" fontId="51" fillId="0" borderId="29" xfId="0" applyFont="1" applyBorder="1"/>
    <xf numFmtId="0" fontId="52" fillId="0" borderId="20" xfId="0" applyFont="1" applyBorder="1"/>
    <xf numFmtId="2" fontId="52" fillId="0" borderId="2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43" fillId="9" borderId="28" xfId="0" applyFont="1" applyFill="1" applyBorder="1" applyAlignment="1">
      <alignment horizontal="left"/>
    </xf>
    <xf numFmtId="0" fontId="42" fillId="9" borderId="30" xfId="0" applyFont="1" applyFill="1" applyBorder="1" applyAlignment="1">
      <alignment horizontal="center"/>
    </xf>
    <xf numFmtId="0" fontId="42" fillId="9" borderId="31" xfId="0" applyFont="1" applyFill="1" applyBorder="1" applyAlignment="1">
      <alignment horizontal="center"/>
    </xf>
    <xf numFmtId="2" fontId="43" fillId="9" borderId="30" xfId="0" applyNumberFormat="1" applyFont="1" applyFill="1" applyBorder="1" applyAlignment="1">
      <alignment horizontal="center"/>
    </xf>
    <xf numFmtId="2" fontId="43" fillId="9" borderId="32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51" fillId="0" borderId="29" xfId="0" applyFont="1" applyBorder="1" applyAlignment="1">
      <alignment horizontal="left"/>
    </xf>
    <xf numFmtId="0" fontId="49" fillId="0" borderId="20" xfId="0" applyFont="1" applyBorder="1"/>
    <xf numFmtId="0" fontId="43" fillId="8" borderId="6" xfId="0" applyFont="1" applyFill="1" applyBorder="1" applyAlignment="1">
      <alignment horizontal="left" indent="1"/>
    </xf>
    <xf numFmtId="0" fontId="52" fillId="8" borderId="6" xfId="0" applyFont="1" applyFill="1" applyBorder="1" applyAlignment="1">
      <alignment horizontal="center"/>
    </xf>
    <xf numFmtId="0" fontId="52" fillId="8" borderId="6" xfId="0" applyFont="1" applyFill="1" applyBorder="1"/>
    <xf numFmtId="2" fontId="43" fillId="9" borderId="15" xfId="0" applyNumberFormat="1" applyFont="1" applyFill="1" applyBorder="1" applyAlignment="1">
      <alignment horizontal="left"/>
    </xf>
    <xf numFmtId="0" fontId="43" fillId="8" borderId="7" xfId="0" applyFont="1" applyFill="1" applyBorder="1"/>
    <xf numFmtId="0" fontId="52" fillId="8" borderId="18" xfId="0" applyFont="1" applyFill="1" applyBorder="1"/>
    <xf numFmtId="167" fontId="43" fillId="8" borderId="6" xfId="0" applyNumberFormat="1" applyFont="1" applyFill="1" applyBorder="1" applyAlignment="1">
      <alignment horizontal="center" vertical="center"/>
    </xf>
    <xf numFmtId="1" fontId="43" fillId="8" borderId="6" xfId="3" applyNumberFormat="1" applyFont="1" applyFill="1" applyBorder="1" applyAlignment="1">
      <alignment horizontal="center"/>
    </xf>
    <xf numFmtId="0" fontId="50" fillId="8" borderId="6" xfId="0" applyFont="1" applyFill="1" applyBorder="1"/>
    <xf numFmtId="0" fontId="48" fillId="8" borderId="6" xfId="0" applyFont="1" applyFill="1" applyBorder="1" applyAlignment="1">
      <alignment horizontal="left"/>
    </xf>
    <xf numFmtId="0" fontId="50" fillId="8" borderId="6" xfId="0" applyFont="1" applyFill="1" applyBorder="1" applyAlignment="1">
      <alignment horizontal="center"/>
    </xf>
    <xf numFmtId="0" fontId="13" fillId="6" borderId="6" xfId="0" applyFont="1" applyFill="1" applyBorder="1" applyAlignment="1" applyProtection="1">
      <alignment horizontal="left"/>
      <protection locked="0"/>
    </xf>
    <xf numFmtId="0" fontId="49" fillId="6" borderId="6" xfId="0" applyFont="1" applyFill="1" applyBorder="1" applyAlignment="1" applyProtection="1">
      <alignment horizontal="left"/>
      <protection locked="0"/>
    </xf>
    <xf numFmtId="0" fontId="43" fillId="8" borderId="6" xfId="0" applyFont="1" applyFill="1" applyBorder="1" applyAlignment="1">
      <alignment horizontal="left"/>
    </xf>
    <xf numFmtId="0" fontId="48" fillId="8" borderId="6" xfId="0" applyFont="1" applyFill="1" applyBorder="1" applyAlignment="1">
      <alignment horizontal="left" indent="1"/>
    </xf>
    <xf numFmtId="0" fontId="13" fillId="0" borderId="6" xfId="0" applyFont="1" applyBorder="1" applyAlignment="1">
      <alignment horizontal="left"/>
    </xf>
    <xf numFmtId="0" fontId="12" fillId="0" borderId="0" xfId="0" applyFont="1" applyBorder="1"/>
    <xf numFmtId="0" fontId="48" fillId="8" borderId="0" xfId="0" applyFont="1" applyFill="1" applyBorder="1"/>
    <xf numFmtId="0" fontId="48" fillId="8" borderId="0" xfId="0" applyFont="1" applyFill="1" applyBorder="1" applyAlignment="1">
      <alignment horizontal="center"/>
    </xf>
    <xf numFmtId="0" fontId="48" fillId="8" borderId="27" xfId="0" applyFont="1" applyFill="1" applyBorder="1"/>
    <xf numFmtId="0" fontId="48" fillId="8" borderId="27" xfId="0" applyFont="1" applyFill="1" applyBorder="1" applyAlignment="1">
      <alignment horizontal="center"/>
    </xf>
    <xf numFmtId="0" fontId="48" fillId="8" borderId="33" xfId="0" applyFont="1" applyFill="1" applyBorder="1"/>
    <xf numFmtId="0" fontId="48" fillId="8" borderId="33" xfId="0" applyFont="1" applyFill="1" applyBorder="1" applyAlignment="1">
      <alignment horizontal="center"/>
    </xf>
    <xf numFmtId="0" fontId="48" fillId="9" borderId="6" xfId="0" applyFont="1" applyFill="1" applyBorder="1"/>
    <xf numFmtId="0" fontId="50" fillId="9" borderId="6" xfId="0" applyFont="1" applyFill="1" applyBorder="1" applyAlignment="1">
      <alignment horizontal="center"/>
    </xf>
    <xf numFmtId="0" fontId="50" fillId="9" borderId="6" xfId="0" applyFont="1" applyFill="1" applyBorder="1"/>
    <xf numFmtId="0" fontId="13" fillId="0" borderId="6" xfId="0" applyFont="1" applyBorder="1"/>
    <xf numFmtId="165" fontId="48" fillId="8" borderId="0" xfId="3" applyFont="1" applyFill="1" applyBorder="1"/>
    <xf numFmtId="0" fontId="13" fillId="6" borderId="34" xfId="0" applyFont="1" applyFill="1" applyBorder="1" applyAlignment="1" applyProtection="1">
      <alignment horizontal="center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6" borderId="34" xfId="3" applyNumberFormat="1" applyFont="1" applyFill="1" applyBorder="1" applyAlignment="1" applyProtection="1">
      <alignment horizontal="center"/>
      <protection locked="0"/>
    </xf>
    <xf numFmtId="0" fontId="13" fillId="6" borderId="34" xfId="0" applyFont="1" applyFill="1" applyBorder="1" applyAlignment="1" applyProtection="1">
      <alignment horizontal="left"/>
      <protection locked="0"/>
    </xf>
    <xf numFmtId="0" fontId="48" fillId="8" borderId="27" xfId="0" applyFont="1" applyFill="1" applyBorder="1" applyAlignment="1">
      <alignment horizontal="center" vertical="center"/>
    </xf>
    <xf numFmtId="165" fontId="48" fillId="8" borderId="27" xfId="3" applyFont="1" applyFill="1" applyBorder="1" applyAlignment="1">
      <alignment horizontal="center"/>
    </xf>
    <xf numFmtId="0" fontId="13" fillId="6" borderId="34" xfId="0" applyNumberFormat="1" applyFont="1" applyFill="1" applyBorder="1" applyAlignment="1" applyProtection="1">
      <alignment horizontal="center"/>
      <protection locked="0"/>
    </xf>
    <xf numFmtId="0" fontId="50" fillId="8" borderId="27" xfId="0" applyFont="1" applyFill="1" applyBorder="1" applyAlignment="1">
      <alignment horizontal="center"/>
    </xf>
    <xf numFmtId="0" fontId="50" fillId="8" borderId="27" xfId="0" applyNumberFormat="1" applyFont="1" applyFill="1" applyBorder="1" applyAlignment="1">
      <alignment horizontal="center"/>
    </xf>
    <xf numFmtId="0" fontId="48" fillId="9" borderId="35" xfId="0" applyFont="1" applyFill="1" applyBorder="1"/>
    <xf numFmtId="0" fontId="48" fillId="9" borderId="36" xfId="0" applyFont="1" applyFill="1" applyBorder="1" applyAlignment="1">
      <alignment horizontal="center"/>
    </xf>
    <xf numFmtId="0" fontId="48" fillId="9" borderId="36" xfId="0" applyFont="1" applyFill="1" applyBorder="1"/>
    <xf numFmtId="165" fontId="48" fillId="9" borderId="37" xfId="3" applyFont="1" applyFill="1" applyBorder="1"/>
    <xf numFmtId="2" fontId="50" fillId="9" borderId="19" xfId="0" applyNumberFormat="1" applyFont="1" applyFill="1" applyBorder="1"/>
    <xf numFmtId="0" fontId="9" fillId="0" borderId="17" xfId="0" applyFont="1" applyFill="1" applyBorder="1"/>
    <xf numFmtId="2" fontId="50" fillId="0" borderId="38" xfId="0" applyNumberFormat="1" applyFont="1" applyFill="1" applyBorder="1"/>
    <xf numFmtId="0" fontId="48" fillId="8" borderId="39" xfId="0" applyFont="1" applyFill="1" applyBorder="1"/>
    <xf numFmtId="0" fontId="48" fillId="8" borderId="18" xfId="0" applyFont="1" applyFill="1" applyBorder="1" applyAlignment="1">
      <alignment horizontal="center"/>
    </xf>
    <xf numFmtId="169" fontId="13" fillId="0" borderId="18" xfId="3" applyNumberFormat="1" applyFont="1" applyBorder="1"/>
    <xf numFmtId="0" fontId="13" fillId="0" borderId="20" xfId="0" applyFont="1" applyBorder="1"/>
    <xf numFmtId="0" fontId="48" fillId="9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50" fillId="0" borderId="14" xfId="0" applyFont="1" applyFill="1" applyBorder="1"/>
    <xf numFmtId="0" fontId="9" fillId="0" borderId="7" xfId="0" applyFont="1" applyBorder="1"/>
    <xf numFmtId="0" fontId="9" fillId="0" borderId="29" xfId="0" applyFont="1" applyFill="1" applyBorder="1"/>
    <xf numFmtId="0" fontId="43" fillId="8" borderId="7" xfId="0" applyFont="1" applyFill="1" applyBorder="1" applyAlignment="1">
      <alignment horizontal="center"/>
    </xf>
    <xf numFmtId="169" fontId="43" fillId="8" borderId="18" xfId="3" applyNumberFormat="1" applyFont="1" applyFill="1" applyBorder="1" applyAlignment="1"/>
    <xf numFmtId="0" fontId="50" fillId="8" borderId="7" xfId="0" applyFont="1" applyFill="1" applyBorder="1"/>
    <xf numFmtId="0" fontId="50" fillId="8" borderId="18" xfId="0" applyFont="1" applyFill="1" applyBorder="1"/>
    <xf numFmtId="0" fontId="9" fillId="0" borderId="40" xfId="0" applyFont="1" applyBorder="1" applyAlignment="1">
      <alignment horizontal="left"/>
    </xf>
    <xf numFmtId="169" fontId="13" fillId="0" borderId="41" xfId="0" applyNumberFormat="1" applyFont="1" applyBorder="1" applyAlignment="1"/>
    <xf numFmtId="0" fontId="48" fillId="8" borderId="7" xfId="0" applyFont="1" applyFill="1" applyBorder="1"/>
    <xf numFmtId="0" fontId="50" fillId="8" borderId="42" xfId="0" applyFont="1" applyFill="1" applyBorder="1" applyAlignment="1">
      <alignment horizontal="center"/>
    </xf>
    <xf numFmtId="169" fontId="48" fillId="8" borderId="43" xfId="3" applyNumberFormat="1" applyFont="1" applyFill="1" applyBorder="1"/>
    <xf numFmtId="0" fontId="48" fillId="9" borderId="7" xfId="0" applyFont="1" applyFill="1" applyBorder="1"/>
    <xf numFmtId="0" fontId="50" fillId="9" borderId="18" xfId="0" applyFont="1" applyFill="1" applyBorder="1"/>
    <xf numFmtId="0" fontId="48" fillId="8" borderId="17" xfId="0" applyFont="1" applyFill="1" applyBorder="1" applyAlignment="1">
      <alignment horizontal="center"/>
    </xf>
    <xf numFmtId="165" fontId="48" fillId="8" borderId="14" xfId="3" applyFont="1" applyFill="1" applyBorder="1"/>
    <xf numFmtId="0" fontId="48" fillId="9" borderId="35" xfId="0" applyFont="1" applyFill="1" applyBorder="1" applyAlignment="1">
      <alignment horizontal="left"/>
    </xf>
    <xf numFmtId="0" fontId="43" fillId="9" borderId="6" xfId="0" applyFont="1" applyFill="1" applyBorder="1"/>
    <xf numFmtId="0" fontId="43" fillId="9" borderId="6" xfId="0" applyFont="1" applyFill="1" applyBorder="1" applyAlignment="1">
      <alignment horizontal="center"/>
    </xf>
    <xf numFmtId="0" fontId="48" fillId="8" borderId="27" xfId="0" applyFont="1" applyFill="1" applyBorder="1" applyAlignment="1">
      <alignment horizontal="left"/>
    </xf>
    <xf numFmtId="2" fontId="43" fillId="9" borderId="7" xfId="0" applyNumberFormat="1" applyFont="1" applyFill="1" applyBorder="1" applyAlignment="1">
      <alignment horizontal="left"/>
    </xf>
    <xf numFmtId="0" fontId="43" fillId="9" borderId="18" xfId="0" applyFont="1" applyFill="1" applyBorder="1"/>
    <xf numFmtId="0" fontId="48" fillId="8" borderId="39" xfId="0" applyFont="1" applyFill="1" applyBorder="1" applyAlignment="1">
      <alignment horizontal="center" vertical="center"/>
    </xf>
    <xf numFmtId="169" fontId="48" fillId="8" borderId="26" xfId="3" applyNumberFormat="1" applyFont="1" applyFill="1" applyBorder="1"/>
    <xf numFmtId="0" fontId="50" fillId="8" borderId="39" xfId="0" applyFont="1" applyFill="1" applyBorder="1" applyAlignment="1">
      <alignment horizontal="center"/>
    </xf>
    <xf numFmtId="0" fontId="13" fillId="0" borderId="12" xfId="0" applyFont="1" applyBorder="1"/>
    <xf numFmtId="0" fontId="48" fillId="8" borderId="44" xfId="0" applyFont="1" applyFill="1" applyBorder="1" applyAlignment="1">
      <alignment horizontal="center"/>
    </xf>
    <xf numFmtId="0" fontId="48" fillId="8" borderId="45" xfId="0" applyFont="1" applyFill="1" applyBorder="1" applyAlignment="1">
      <alignment horizontal="center"/>
    </xf>
    <xf numFmtId="170" fontId="13" fillId="0" borderId="18" xfId="3" applyNumberFormat="1" applyFont="1" applyBorder="1"/>
    <xf numFmtId="2" fontId="49" fillId="0" borderId="18" xfId="0" applyNumberFormat="1" applyFont="1" applyFill="1" applyBorder="1" applyAlignment="1">
      <alignment horizontal="center"/>
    </xf>
    <xf numFmtId="2" fontId="52" fillId="0" borderId="21" xfId="0" applyNumberFormat="1" applyFont="1" applyBorder="1" applyAlignment="1">
      <alignment horizontal="center"/>
    </xf>
    <xf numFmtId="0" fontId="15" fillId="0" borderId="7" xfId="0" applyFont="1" applyFill="1" applyBorder="1" applyAlignment="1" applyProtection="1">
      <alignment horizontal="left" vertical="center"/>
    </xf>
    <xf numFmtId="0" fontId="15" fillId="6" borderId="6" xfId="3" applyNumberFormat="1" applyFont="1" applyFill="1" applyBorder="1" applyAlignment="1" applyProtection="1">
      <alignment horizontal="center" vertical="center"/>
      <protection locked="0"/>
    </xf>
    <xf numFmtId="1" fontId="15" fillId="0" borderId="18" xfId="3" applyNumberFormat="1" applyFont="1" applyBorder="1" applyAlignment="1" applyProtection="1">
      <alignment horizontal="right" vertical="center"/>
    </xf>
    <xf numFmtId="169" fontId="15" fillId="0" borderId="18" xfId="3" applyNumberFormat="1" applyFont="1" applyBorder="1" applyAlignment="1" applyProtection="1">
      <alignment vertical="center"/>
    </xf>
    <xf numFmtId="0" fontId="15" fillId="6" borderId="7" xfId="0" applyFont="1" applyFill="1" applyBorder="1" applyAlignment="1" applyProtection="1">
      <alignment horizontal="left" vertical="center"/>
      <protection locked="0"/>
    </xf>
    <xf numFmtId="1" fontId="15" fillId="0" borderId="6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0" fillId="0" borderId="0" xfId="0" applyFont="1" applyFill="1" applyProtection="1"/>
    <xf numFmtId="0" fontId="17" fillId="0" borderId="2" xfId="0" applyFont="1" applyFill="1" applyBorder="1" applyProtection="1"/>
    <xf numFmtId="0" fontId="17" fillId="0" borderId="0" xfId="0" applyFont="1" applyFill="1" applyBorder="1" applyProtection="1"/>
    <xf numFmtId="0" fontId="17" fillId="0" borderId="3" xfId="0" applyFont="1" applyFill="1" applyBorder="1" applyProtection="1"/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17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justify" vertical="center"/>
    </xf>
    <xf numFmtId="0" fontId="17" fillId="2" borderId="4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17" fillId="2" borderId="47" xfId="0" applyFont="1" applyFill="1" applyBorder="1" applyAlignment="1" applyProtection="1">
      <alignment vertical="center"/>
    </xf>
    <xf numFmtId="0" fontId="17" fillId="2" borderId="48" xfId="0" applyFont="1" applyFill="1" applyBorder="1" applyAlignment="1" applyProtection="1">
      <alignment vertical="center"/>
    </xf>
    <xf numFmtId="0" fontId="54" fillId="10" borderId="0" xfId="0" applyFont="1" applyFill="1" applyBorder="1"/>
    <xf numFmtId="0" fontId="54" fillId="0" borderId="0" xfId="0" applyFont="1" applyFill="1" applyBorder="1"/>
    <xf numFmtId="0" fontId="54" fillId="0" borderId="3" xfId="0" applyFont="1" applyFill="1" applyBorder="1"/>
    <xf numFmtId="0" fontId="54" fillId="10" borderId="49" xfId="0" applyFont="1" applyFill="1" applyBorder="1"/>
    <xf numFmtId="0" fontId="55" fillId="10" borderId="33" xfId="0" applyFont="1" applyFill="1" applyBorder="1"/>
    <xf numFmtId="0" fontId="2" fillId="2" borderId="25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horizontal="justify" vertical="center" wrapText="1"/>
    </xf>
    <xf numFmtId="0" fontId="45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left" vertical="center"/>
    </xf>
    <xf numFmtId="0" fontId="1" fillId="0" borderId="50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14" fontId="1" fillId="0" borderId="50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5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56" fillId="0" borderId="0" xfId="0" applyFont="1" applyFill="1" applyBorder="1" applyAlignment="1" applyProtection="1">
      <alignment horizontal="left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57" fillId="11" borderId="104" xfId="0" applyFont="1" applyFill="1" applyBorder="1" applyAlignment="1" applyProtection="1">
      <alignment horizontal="center" vertical="center" wrapText="1"/>
    </xf>
    <xf numFmtId="0" fontId="58" fillId="10" borderId="105" xfId="0" applyFont="1" applyFill="1" applyBorder="1" applyAlignment="1" applyProtection="1">
      <alignment horizontal="center" vertical="center" wrapText="1"/>
    </xf>
    <xf numFmtId="0" fontId="43" fillId="8" borderId="6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 vertical="center"/>
    </xf>
    <xf numFmtId="0" fontId="46" fillId="7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46" fillId="7" borderId="50" xfId="0" applyFont="1" applyFill="1" applyBorder="1" applyAlignment="1" applyProtection="1">
      <alignment horizontal="center" vertical="center" wrapText="1"/>
    </xf>
    <xf numFmtId="0" fontId="46" fillId="7" borderId="53" xfId="0" applyFont="1" applyFill="1" applyBorder="1" applyAlignment="1" applyProtection="1">
      <alignment horizontal="center" vertical="center"/>
    </xf>
    <xf numFmtId="0" fontId="46" fillId="7" borderId="6" xfId="0" applyFont="1" applyFill="1" applyBorder="1" applyAlignment="1" applyProtection="1">
      <alignment horizontal="center" vertical="center" wrapText="1"/>
    </xf>
    <xf numFmtId="0" fontId="46" fillId="7" borderId="6" xfId="0" applyFont="1" applyFill="1" applyBorder="1" applyAlignment="1" applyProtection="1">
      <alignment horizontal="center" vertical="center"/>
    </xf>
    <xf numFmtId="0" fontId="58" fillId="10" borderId="106" xfId="0" applyFont="1" applyFill="1" applyBorder="1" applyAlignment="1" applyProtection="1">
      <alignment horizontal="center" vertical="center" wrapText="1"/>
    </xf>
    <xf numFmtId="0" fontId="46" fillId="12" borderId="50" xfId="0" applyFont="1" applyFill="1" applyBorder="1" applyAlignment="1" applyProtection="1">
      <alignment horizontal="center" vertical="center" wrapText="1"/>
    </xf>
    <xf numFmtId="166" fontId="5" fillId="2" borderId="3" xfId="0" applyNumberFormat="1" applyFont="1" applyFill="1" applyBorder="1" applyAlignment="1" applyProtection="1">
      <alignment horizontal="right" vertical="center"/>
    </xf>
    <xf numFmtId="0" fontId="0" fillId="2" borderId="47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59" fillId="2" borderId="2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 applyProtection="1">
      <alignment horizontal="left" vertical="center"/>
    </xf>
    <xf numFmtId="0" fontId="27" fillId="0" borderId="50" xfId="0" applyFont="1" applyFill="1" applyBorder="1" applyAlignment="1" applyProtection="1">
      <alignment vertical="center"/>
    </xf>
    <xf numFmtId="0" fontId="27" fillId="0" borderId="9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left" vertical="center"/>
    </xf>
    <xf numFmtId="14" fontId="27" fillId="0" borderId="50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vertical="center"/>
    </xf>
    <xf numFmtId="0" fontId="28" fillId="0" borderId="54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3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55" xfId="0" applyFont="1" applyFill="1" applyBorder="1" applyAlignment="1" applyProtection="1">
      <alignment horizontal="center" vertical="center" wrapText="1"/>
    </xf>
    <xf numFmtId="0" fontId="28" fillId="6" borderId="56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vertical="center"/>
    </xf>
    <xf numFmtId="2" fontId="27" fillId="6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vertical="center"/>
    </xf>
    <xf numFmtId="2" fontId="27" fillId="6" borderId="21" xfId="0" applyNumberFormat="1" applyFont="1" applyFill="1" applyBorder="1" applyAlignment="1" applyProtection="1">
      <alignment horizontal="center" vertical="center"/>
      <protection locked="0"/>
    </xf>
    <xf numFmtId="2" fontId="28" fillId="0" borderId="9" xfId="0" applyNumberFormat="1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left" vertical="center"/>
    </xf>
    <xf numFmtId="0" fontId="27" fillId="13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justify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 wrapText="1"/>
    </xf>
    <xf numFmtId="0" fontId="31" fillId="0" borderId="3" xfId="0" applyFont="1" applyFill="1" applyBorder="1" applyAlignment="1" applyProtection="1">
      <alignment vertical="center" wrapText="1"/>
    </xf>
    <xf numFmtId="0" fontId="33" fillId="2" borderId="2" xfId="0" applyFont="1" applyFill="1" applyBorder="1" applyAlignment="1" applyProtection="1">
      <alignment horizontal="left" vertical="center" wrapText="1"/>
    </xf>
    <xf numFmtId="0" fontId="33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justify"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8" fillId="2" borderId="3" xfId="0" applyFont="1" applyFill="1" applyBorder="1" applyAlignment="1" applyProtection="1">
      <alignment horizontal="left" vertical="center" wrapText="1"/>
    </xf>
    <xf numFmtId="0" fontId="46" fillId="7" borderId="57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horizontal="center" vertical="center" wrapText="1"/>
    </xf>
    <xf numFmtId="0" fontId="27" fillId="2" borderId="21" xfId="0" applyFont="1" applyFill="1" applyBorder="1" applyAlignment="1" applyProtection="1">
      <alignment horizontal="center" vertical="center" wrapText="1"/>
    </xf>
    <xf numFmtId="0" fontId="27" fillId="0" borderId="58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/>
    </xf>
    <xf numFmtId="0" fontId="27" fillId="6" borderId="59" xfId="0" applyFont="1" applyFill="1" applyBorder="1" applyAlignment="1" applyProtection="1">
      <alignment horizontal="center" vertical="center"/>
      <protection locked="0"/>
    </xf>
    <xf numFmtId="0" fontId="27" fillId="2" borderId="59" xfId="0" applyFont="1" applyFill="1" applyBorder="1" applyAlignment="1" applyProtection="1">
      <alignment horizontal="center" vertical="center" wrapText="1"/>
    </xf>
    <xf numFmtId="0" fontId="27" fillId="6" borderId="50" xfId="0" applyFont="1" applyFill="1" applyBorder="1" applyAlignment="1" applyProtection="1">
      <alignment horizontal="center" vertical="center"/>
      <protection locked="0"/>
    </xf>
    <xf numFmtId="0" fontId="27" fillId="2" borderId="5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 wrapText="1"/>
    </xf>
    <xf numFmtId="0" fontId="46" fillId="7" borderId="50" xfId="0" applyFont="1" applyFill="1" applyBorder="1" applyAlignment="1" applyProtection="1">
      <alignment horizontal="center" vertical="center"/>
    </xf>
    <xf numFmtId="0" fontId="27" fillId="2" borderId="60" xfId="0" applyFont="1" applyFill="1" applyBorder="1" applyAlignment="1" applyProtection="1">
      <alignment horizontal="left" vertical="center"/>
    </xf>
    <xf numFmtId="0" fontId="27" fillId="2" borderId="61" xfId="0" applyFont="1" applyFill="1" applyBorder="1" applyAlignment="1" applyProtection="1">
      <alignment horizontal="left" vertical="center"/>
    </xf>
    <xf numFmtId="0" fontId="27" fillId="2" borderId="61" xfId="0" applyFont="1" applyFill="1" applyBorder="1" applyAlignment="1" applyProtection="1">
      <alignment horizontal="center" vertical="center" wrapText="1"/>
    </xf>
    <xf numFmtId="0" fontId="27" fillId="14" borderId="61" xfId="0" applyFont="1" applyFill="1" applyBorder="1" applyAlignment="1" applyProtection="1">
      <alignment horizontal="center" vertical="center" wrapText="1"/>
      <protection locked="0"/>
    </xf>
    <xf numFmtId="0" fontId="27" fillId="2" borderId="7" xfId="0" applyFont="1" applyFill="1" applyBorder="1" applyAlignment="1" applyProtection="1">
      <alignment horizontal="left" vertical="center"/>
    </xf>
    <xf numFmtId="0" fontId="27" fillId="2" borderId="6" xfId="0" applyFont="1" applyFill="1" applyBorder="1" applyAlignment="1" applyProtection="1">
      <alignment horizontal="left" vertical="center"/>
    </xf>
    <xf numFmtId="0" fontId="27" fillId="2" borderId="29" xfId="0" applyFont="1" applyFill="1" applyBorder="1" applyAlignment="1" applyProtection="1">
      <alignment horizontal="left" vertical="center"/>
    </xf>
    <xf numFmtId="0" fontId="27" fillId="2" borderId="20" xfId="0" applyFont="1" applyFill="1" applyBorder="1" applyAlignment="1" applyProtection="1">
      <alignment horizontal="left" vertical="center"/>
    </xf>
    <xf numFmtId="0" fontId="27" fillId="14" borderId="20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left" vertical="center"/>
    </xf>
    <xf numFmtId="0" fontId="27" fillId="14" borderId="62" xfId="0" applyFont="1" applyFill="1" applyBorder="1" applyAlignment="1" applyProtection="1">
      <alignment horizontal="center" vertical="center" wrapText="1"/>
      <protection locked="0"/>
    </xf>
    <xf numFmtId="0" fontId="27" fillId="2" borderId="13" xfId="0" applyFont="1" applyFill="1" applyBorder="1" applyAlignment="1" applyProtection="1">
      <alignment horizontal="left" vertical="center"/>
    </xf>
    <xf numFmtId="0" fontId="27" fillId="14" borderId="12" xfId="0" applyFont="1" applyFill="1" applyBorder="1" applyAlignment="1" applyProtection="1">
      <alignment horizontal="center" vertical="center" wrapText="1"/>
      <protection locked="0"/>
    </xf>
    <xf numFmtId="0" fontId="27" fillId="2" borderId="58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14" borderId="63" xfId="0" applyFont="1" applyFill="1" applyBorder="1" applyAlignment="1" applyProtection="1">
      <alignment horizontal="center" vertical="center" wrapText="1"/>
      <protection locked="0"/>
    </xf>
    <xf numFmtId="0" fontId="27" fillId="2" borderId="23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64" xfId="0" applyFont="1" applyFill="1" applyBorder="1" applyAlignment="1" applyProtection="1">
      <alignment horizontal="left" vertical="center"/>
    </xf>
    <xf numFmtId="0" fontId="27" fillId="0" borderId="61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2" borderId="40" xfId="0" applyFont="1" applyFill="1" applyBorder="1" applyAlignment="1" applyProtection="1">
      <alignment horizontal="left" vertical="center"/>
    </xf>
    <xf numFmtId="0" fontId="27" fillId="2" borderId="34" xfId="0" applyFont="1" applyFill="1" applyBorder="1" applyAlignment="1" applyProtection="1">
      <alignment horizontal="left" vertical="center"/>
    </xf>
    <xf numFmtId="0" fontId="27" fillId="2" borderId="34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63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</xf>
    <xf numFmtId="0" fontId="34" fillId="0" borderId="3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vertical="center"/>
    </xf>
    <xf numFmtId="0" fontId="35" fillId="2" borderId="2" xfId="0" applyFont="1" applyFill="1" applyBorder="1" applyAlignment="1" applyProtection="1">
      <alignment horizontal="left" vertical="center" wrapText="1" indent="1"/>
    </xf>
    <xf numFmtId="0" fontId="35" fillId="2" borderId="0" xfId="0" applyFont="1" applyFill="1" applyBorder="1" applyAlignment="1" applyProtection="1">
      <alignment horizontal="left" vertical="center" wrapText="1" indent="1"/>
    </xf>
    <xf numFmtId="165" fontId="27" fillId="2" borderId="0" xfId="0" applyNumberFormat="1" applyFont="1" applyFill="1" applyBorder="1" applyAlignment="1" applyProtection="1">
      <alignment horizontal="center" vertical="center" wrapText="1"/>
    </xf>
    <xf numFmtId="165" fontId="27" fillId="2" borderId="3" xfId="0" applyNumberFormat="1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left" vertical="center" wrapText="1" indent="1"/>
    </xf>
    <xf numFmtId="0" fontId="28" fillId="2" borderId="2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vertical="center"/>
      <protection locked="0"/>
    </xf>
    <xf numFmtId="4" fontId="27" fillId="2" borderId="6" xfId="0" applyNumberFormat="1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 wrapText="1"/>
    </xf>
    <xf numFmtId="0" fontId="28" fillId="2" borderId="53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Protection="1"/>
    <xf numFmtId="0" fontId="36" fillId="2" borderId="0" xfId="0" applyFont="1" applyFill="1" applyBorder="1" applyAlignment="1" applyProtection="1">
      <alignment horizontal="left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/>
    </xf>
    <xf numFmtId="0" fontId="28" fillId="2" borderId="67" xfId="0" applyFont="1" applyFill="1" applyBorder="1" applyAlignment="1" applyProtection="1">
      <alignment horizontal="center" vertical="center" wrapText="1"/>
    </xf>
    <xf numFmtId="0" fontId="27" fillId="0" borderId="53" xfId="0" applyNumberFormat="1" applyFont="1" applyFill="1" applyBorder="1" applyAlignment="1" applyProtection="1">
      <alignment horizontal="center" vertical="center"/>
      <protection locked="0"/>
    </xf>
    <xf numFmtId="0" fontId="27" fillId="0" borderId="67" xfId="0" applyFont="1" applyFill="1" applyBorder="1" applyAlignment="1" applyProtection="1">
      <alignment horizontal="center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right" vertical="center"/>
    </xf>
    <xf numFmtId="0" fontId="29" fillId="2" borderId="3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horizontal="center" vertical="center"/>
    </xf>
    <xf numFmtId="165" fontId="27" fillId="2" borderId="0" xfId="0" applyNumberFormat="1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vertical="center" wrapText="1"/>
    </xf>
    <xf numFmtId="0" fontId="46" fillId="7" borderId="34" xfId="0" applyFont="1" applyFill="1" applyBorder="1" applyAlignment="1" applyProtection="1">
      <alignment horizontal="center" vertical="center" wrapText="1"/>
    </xf>
    <xf numFmtId="167" fontId="28" fillId="2" borderId="6" xfId="0" applyNumberFormat="1" applyFont="1" applyFill="1" applyBorder="1" applyAlignment="1" applyProtection="1">
      <alignment horizontal="center" vertical="center" wrapText="1"/>
    </xf>
    <xf numFmtId="167" fontId="27" fillId="0" borderId="6" xfId="0" applyNumberFormat="1" applyFont="1" applyFill="1" applyBorder="1" applyAlignment="1" applyProtection="1">
      <alignment horizontal="center" vertical="center"/>
      <protection locked="0"/>
    </xf>
    <xf numFmtId="168" fontId="27" fillId="2" borderId="6" xfId="0" applyNumberFormat="1" applyFont="1" applyFill="1" applyBorder="1" applyAlignment="1" applyProtection="1">
      <alignment horizontal="center" vertical="center"/>
    </xf>
    <xf numFmtId="2" fontId="27" fillId="2" borderId="6" xfId="0" applyNumberFormat="1" applyFont="1" applyFill="1" applyBorder="1" applyAlignment="1" applyProtection="1">
      <alignment horizontal="center" vertical="center"/>
    </xf>
    <xf numFmtId="167" fontId="27" fillId="2" borderId="6" xfId="0" applyNumberFormat="1" applyFont="1" applyFill="1" applyBorder="1" applyAlignment="1" applyProtection="1">
      <alignment horizontal="center" vertical="center"/>
    </xf>
    <xf numFmtId="165" fontId="27" fillId="2" borderId="0" xfId="0" applyNumberFormat="1" applyFont="1" applyFill="1" applyBorder="1" applyAlignment="1" applyProtection="1">
      <alignment horizontal="left" vertical="center" wrapText="1"/>
    </xf>
    <xf numFmtId="167" fontId="28" fillId="2" borderId="6" xfId="0" applyNumberFormat="1" applyFont="1" applyFill="1" applyBorder="1" applyAlignment="1" applyProtection="1">
      <alignment horizontal="center" vertical="center"/>
    </xf>
    <xf numFmtId="167" fontId="46" fillId="7" borderId="6" xfId="0" applyNumberFormat="1" applyFont="1" applyFill="1" applyBorder="1" applyAlignment="1" applyProtection="1">
      <alignment horizontal="center" vertical="center"/>
    </xf>
    <xf numFmtId="0" fontId="60" fillId="2" borderId="6" xfId="0" applyFont="1" applyFill="1" applyBorder="1" applyAlignment="1" applyProtection="1">
      <alignment vertical="center"/>
    </xf>
    <xf numFmtId="1" fontId="60" fillId="2" borderId="6" xfId="0" applyNumberFormat="1" applyFont="1" applyFill="1" applyBorder="1" applyAlignment="1" applyProtection="1">
      <alignment horizontal="center" vertical="center"/>
    </xf>
    <xf numFmtId="0" fontId="61" fillId="2" borderId="6" xfId="0" applyFont="1" applyFill="1" applyBorder="1" applyAlignment="1" applyProtection="1">
      <alignment vertical="center"/>
    </xf>
    <xf numFmtId="1" fontId="61" fillId="2" borderId="6" xfId="0" applyNumberFormat="1" applyFont="1" applyFill="1" applyBorder="1" applyAlignment="1" applyProtection="1">
      <alignment horizontal="center" vertical="center"/>
    </xf>
    <xf numFmtId="1" fontId="61" fillId="2" borderId="6" xfId="0" applyNumberFormat="1" applyFont="1" applyFill="1" applyBorder="1" applyAlignment="1" applyProtection="1">
      <alignment horizontal="center" vertical="center" wrapText="1"/>
    </xf>
    <xf numFmtId="1" fontId="60" fillId="2" borderId="6" xfId="0" applyNumberFormat="1" applyFont="1" applyFill="1" applyBorder="1" applyAlignment="1" applyProtection="1">
      <alignment vertical="center"/>
    </xf>
    <xf numFmtId="1" fontId="61" fillId="2" borderId="6" xfId="0" applyNumberFormat="1" applyFont="1" applyFill="1" applyBorder="1" applyAlignment="1" applyProtection="1">
      <alignment vertical="center"/>
    </xf>
    <xf numFmtId="1" fontId="27" fillId="2" borderId="0" xfId="0" applyNumberFormat="1" applyFont="1" applyFill="1" applyBorder="1" applyAlignment="1" applyProtection="1">
      <alignment horizontal="center" vertical="center" wrapText="1"/>
    </xf>
    <xf numFmtId="1" fontId="27" fillId="2" borderId="3" xfId="0" applyNumberFormat="1" applyFont="1" applyFill="1" applyBorder="1" applyAlignment="1" applyProtection="1">
      <alignment vertical="center"/>
    </xf>
    <xf numFmtId="1" fontId="27" fillId="2" borderId="0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justify" vertical="center"/>
    </xf>
    <xf numFmtId="165" fontId="27" fillId="0" borderId="6" xfId="0" applyNumberFormat="1" applyFont="1" applyFill="1" applyBorder="1" applyAlignment="1" applyProtection="1">
      <alignment horizontal="center" vertical="center" wrapText="1"/>
    </xf>
    <xf numFmtId="165" fontId="27" fillId="2" borderId="6" xfId="0" applyNumberFormat="1" applyFont="1" applyFill="1" applyBorder="1" applyAlignment="1" applyProtection="1">
      <alignment horizontal="center" vertical="center" wrapText="1"/>
    </xf>
    <xf numFmtId="165" fontId="27" fillId="4" borderId="2" xfId="0" applyNumberFormat="1" applyFont="1" applyFill="1" applyBorder="1" applyAlignment="1" applyProtection="1">
      <alignment horizontal="center" vertical="center" wrapText="1"/>
    </xf>
    <xf numFmtId="165" fontId="27" fillId="4" borderId="0" xfId="0" applyNumberFormat="1" applyFont="1" applyFill="1" applyBorder="1" applyAlignment="1" applyProtection="1">
      <alignment horizontal="center" vertical="center" wrapText="1"/>
    </xf>
    <xf numFmtId="0" fontId="27" fillId="12" borderId="0" xfId="0" applyNumberFormat="1" applyFont="1" applyFill="1" applyBorder="1" applyAlignment="1" applyProtection="1">
      <alignment horizontal="center" vertical="center" wrapText="1"/>
    </xf>
    <xf numFmtId="0" fontId="27" fillId="5" borderId="0" xfId="0" applyNumberFormat="1" applyFont="1" applyFill="1" applyBorder="1" applyAlignment="1" applyProtection="1">
      <alignment horizontal="center" vertical="center" wrapText="1"/>
    </xf>
    <xf numFmtId="0" fontId="27" fillId="4" borderId="0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/>
    </xf>
    <xf numFmtId="0" fontId="27" fillId="5" borderId="3" xfId="0" applyFont="1" applyFill="1" applyBorder="1" applyProtection="1"/>
    <xf numFmtId="0" fontId="28" fillId="2" borderId="2" xfId="0" applyFont="1" applyFill="1" applyBorder="1" applyAlignment="1" applyProtection="1">
      <alignment horizontal="left" vertical="center"/>
    </xf>
    <xf numFmtId="165" fontId="27" fillId="2" borderId="13" xfId="0" applyNumberFormat="1" applyFont="1" applyFill="1" applyBorder="1" applyAlignment="1" applyProtection="1">
      <alignment horizontal="center" vertical="center" wrapText="1"/>
    </xf>
    <xf numFmtId="165" fontId="27" fillId="16" borderId="13" xfId="0" applyNumberFormat="1" applyFont="1" applyFill="1" applyBorder="1" applyAlignment="1" applyProtection="1">
      <alignment horizontal="center" vertical="center" wrapText="1"/>
    </xf>
    <xf numFmtId="165" fontId="27" fillId="2" borderId="58" xfId="0" applyNumberFormat="1" applyFont="1" applyFill="1" applyBorder="1" applyAlignment="1" applyProtection="1">
      <alignment horizontal="center" vertical="center" wrapText="1"/>
    </xf>
    <xf numFmtId="165" fontId="28" fillId="2" borderId="0" xfId="0" applyNumberFormat="1" applyFont="1" applyFill="1" applyBorder="1" applyAlignment="1" applyProtection="1">
      <alignment horizontal="left" vertical="center" wrapText="1"/>
    </xf>
    <xf numFmtId="1" fontId="27" fillId="2" borderId="6" xfId="0" applyNumberFormat="1" applyFont="1" applyFill="1" applyBorder="1" applyAlignment="1" applyProtection="1">
      <alignment horizontal="center" vertical="center" wrapText="1"/>
    </xf>
    <xf numFmtId="10" fontId="27" fillId="2" borderId="6" xfId="0" applyNumberFormat="1" applyFont="1" applyFill="1" applyBorder="1" applyAlignment="1" applyProtection="1">
      <alignment horizontal="center" vertical="center"/>
    </xf>
    <xf numFmtId="2" fontId="27" fillId="2" borderId="6" xfId="0" applyNumberFormat="1" applyFont="1" applyFill="1" applyBorder="1" applyAlignment="1" applyProtection="1">
      <alignment horizontal="center" vertical="center" wrapText="1"/>
    </xf>
    <xf numFmtId="166" fontId="27" fillId="2" borderId="0" xfId="0" applyNumberFormat="1" applyFont="1" applyFill="1" applyBorder="1" applyAlignment="1" applyProtection="1">
      <alignment horizontal="right" vertical="center"/>
    </xf>
    <xf numFmtId="166" fontId="27" fillId="2" borderId="3" xfId="0" applyNumberFormat="1" applyFont="1" applyFill="1" applyBorder="1" applyAlignment="1" applyProtection="1">
      <alignment horizontal="right" vertical="center"/>
    </xf>
    <xf numFmtId="0" fontId="27" fillId="0" borderId="68" xfId="0" applyFont="1" applyFill="1" applyBorder="1" applyAlignment="1" applyProtection="1">
      <alignment horizontal="center" vertical="center"/>
    </xf>
    <xf numFmtId="0" fontId="27" fillId="14" borderId="53" xfId="0" applyFont="1" applyFill="1" applyBorder="1" applyAlignment="1" applyProtection="1">
      <alignment horizontal="center" vertical="center"/>
      <protection locked="0"/>
    </xf>
    <xf numFmtId="0" fontId="27" fillId="14" borderId="10" xfId="0" applyFont="1" applyFill="1" applyBorder="1" applyAlignment="1" applyProtection="1">
      <alignment horizontal="center" vertical="center"/>
      <protection locked="0"/>
    </xf>
    <xf numFmtId="3" fontId="27" fillId="6" borderId="6" xfId="0" applyNumberFormat="1" applyFont="1" applyFill="1" applyBorder="1" applyAlignment="1" applyProtection="1">
      <alignment horizontal="center" vertical="center"/>
      <protection locked="0"/>
    </xf>
    <xf numFmtId="3" fontId="27" fillId="14" borderId="6" xfId="0" applyNumberFormat="1" applyFont="1" applyFill="1" applyBorder="1" applyAlignment="1" applyProtection="1">
      <alignment horizontal="center" vertical="center"/>
      <protection locked="0"/>
    </xf>
    <xf numFmtId="3" fontId="27" fillId="2" borderId="69" xfId="0" applyNumberFormat="1" applyFont="1" applyFill="1" applyBorder="1" applyAlignment="1" applyProtection="1">
      <alignment horizontal="center" vertical="center"/>
    </xf>
    <xf numFmtId="3" fontId="27" fillId="2" borderId="6" xfId="0" applyNumberFormat="1" applyFont="1" applyFill="1" applyBorder="1" applyAlignment="1" applyProtection="1">
      <alignment horizontal="center" vertical="center"/>
    </xf>
    <xf numFmtId="3" fontId="27" fillId="2" borderId="53" xfId="0" applyNumberFormat="1" applyFont="1" applyFill="1" applyBorder="1" applyAlignment="1" applyProtection="1">
      <alignment horizontal="center" vertical="center"/>
    </xf>
    <xf numFmtId="3" fontId="27" fillId="6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14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0" xfId="0" applyNumberFormat="1" applyFont="1" applyFill="1" applyBorder="1" applyAlignment="1" applyProtection="1">
      <alignment horizontal="center" vertical="center" wrapText="1"/>
    </xf>
    <xf numFmtId="3" fontId="28" fillId="2" borderId="6" xfId="0" applyNumberFormat="1" applyFont="1" applyFill="1" applyBorder="1" applyAlignment="1" applyProtection="1">
      <alignment horizontal="center" vertical="center" wrapText="1"/>
    </xf>
    <xf numFmtId="3" fontId="27" fillId="2" borderId="6" xfId="0" applyNumberFormat="1" applyFont="1" applyFill="1" applyBorder="1" applyAlignment="1" applyProtection="1">
      <alignment horizontal="center" vertical="center" wrapText="1"/>
    </xf>
    <xf numFmtId="169" fontId="15" fillId="0" borderId="12" xfId="3" applyNumberFormat="1" applyFont="1" applyBorder="1" applyAlignment="1" applyProtection="1"/>
    <xf numFmtId="0" fontId="15" fillId="0" borderId="71" xfId="0" applyFont="1" applyFill="1" applyBorder="1" applyAlignment="1" applyProtection="1">
      <alignment horizontal="left"/>
    </xf>
    <xf numFmtId="169" fontId="15" fillId="0" borderId="47" xfId="3" applyNumberFormat="1" applyFont="1" applyBorder="1" applyAlignment="1" applyProtection="1"/>
    <xf numFmtId="0" fontId="62" fillId="17" borderId="107" xfId="0" applyFont="1" applyFill="1" applyBorder="1" applyAlignment="1">
      <alignment horizontal="center" vertical="center" wrapText="1"/>
    </xf>
    <xf numFmtId="0" fontId="62" fillId="17" borderId="108" xfId="0" applyFont="1" applyFill="1" applyBorder="1" applyAlignment="1">
      <alignment horizontal="center" vertical="center" wrapText="1"/>
    </xf>
    <xf numFmtId="0" fontId="62" fillId="17" borderId="109" xfId="0" applyFont="1" applyFill="1" applyBorder="1" applyAlignment="1">
      <alignment horizontal="center" vertical="center" wrapText="1"/>
    </xf>
    <xf numFmtId="0" fontId="62" fillId="17" borderId="52" xfId="0" applyFont="1" applyFill="1" applyBorder="1" applyAlignment="1" applyProtection="1">
      <alignment horizontal="center" vertical="center" wrapText="1"/>
    </xf>
    <xf numFmtId="0" fontId="15" fillId="6" borderId="40" xfId="0" applyFont="1" applyFill="1" applyBorder="1" applyProtection="1">
      <protection locked="0"/>
    </xf>
    <xf numFmtId="0" fontId="15" fillId="6" borderId="34" xfId="0" applyFont="1" applyFill="1" applyBorder="1" applyAlignment="1" applyProtection="1">
      <alignment horizontal="center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34" xfId="3" applyNumberFormat="1" applyFont="1" applyFill="1" applyBorder="1" applyAlignment="1" applyProtection="1">
      <alignment horizontal="center"/>
      <protection locked="0"/>
    </xf>
    <xf numFmtId="169" fontId="15" fillId="0" borderId="44" xfId="3" applyNumberFormat="1" applyFont="1" applyBorder="1" applyAlignment="1" applyProtection="1"/>
    <xf numFmtId="0" fontId="61" fillId="2" borderId="12" xfId="0" applyFont="1" applyFill="1" applyBorder="1" applyAlignment="1" applyProtection="1">
      <alignment horizontal="left" vertical="center"/>
    </xf>
    <xf numFmtId="0" fontId="61" fillId="2" borderId="27" xfId="0" applyFont="1" applyFill="1" applyBorder="1" applyAlignment="1" applyProtection="1">
      <alignment horizontal="left" vertical="center"/>
    </xf>
    <xf numFmtId="0" fontId="0" fillId="6" borderId="69" xfId="0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2" fontId="49" fillId="6" borderId="6" xfId="0" applyNumberFormat="1" applyFont="1" applyFill="1" applyBorder="1" applyAlignment="1" applyProtection="1">
      <alignment horizontal="center" vertical="center"/>
      <protection locked="0"/>
    </xf>
    <xf numFmtId="0" fontId="48" fillId="8" borderId="18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/>
    <xf numFmtId="0" fontId="13" fillId="0" borderId="27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/>
    <xf numFmtId="1" fontId="13" fillId="0" borderId="6" xfId="3" applyNumberFormat="1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left"/>
    </xf>
    <xf numFmtId="0" fontId="13" fillId="0" borderId="6" xfId="0" applyNumberFormat="1" applyFont="1" applyFill="1" applyBorder="1" applyAlignment="1" applyProtection="1">
      <alignment horizontal="center"/>
    </xf>
    <xf numFmtId="0" fontId="49" fillId="0" borderId="6" xfId="0" applyFont="1" applyFill="1" applyBorder="1" applyAlignment="1" applyProtection="1">
      <alignment horizontal="left"/>
    </xf>
    <xf numFmtId="2" fontId="49" fillId="0" borderId="6" xfId="0" applyNumberFormat="1" applyFont="1" applyFill="1" applyBorder="1" applyAlignment="1" applyProtection="1">
      <alignment horizontal="center" vertical="center"/>
    </xf>
    <xf numFmtId="1" fontId="49" fillId="0" borderId="6" xfId="3" applyNumberFormat="1" applyFont="1" applyFill="1" applyBorder="1" applyAlignment="1" applyProtection="1">
      <alignment horizontal="center"/>
    </xf>
    <xf numFmtId="0" fontId="27" fillId="0" borderId="72" xfId="0" applyFont="1" applyFill="1" applyBorder="1" applyAlignment="1" applyProtection="1">
      <alignment horizontal="center" vertical="center"/>
    </xf>
    <xf numFmtId="0" fontId="15" fillId="18" borderId="110" xfId="0" applyFont="1" applyFill="1" applyBorder="1" applyAlignment="1" applyProtection="1">
      <alignment horizontal="center" vertical="center" wrapText="1"/>
    </xf>
    <xf numFmtId="0" fontId="15" fillId="6" borderId="110" xfId="0" applyFont="1" applyFill="1" applyBorder="1" applyAlignment="1" applyProtection="1">
      <alignment horizontal="center" vertical="center" wrapText="1"/>
      <protection locked="0"/>
    </xf>
    <xf numFmtId="0" fontId="63" fillId="10" borderId="110" xfId="0" applyFont="1" applyFill="1" applyBorder="1" applyAlignment="1" applyProtection="1">
      <alignment horizontal="center" vertical="center" wrapText="1"/>
    </xf>
    <xf numFmtId="0" fontId="24" fillId="18" borderId="110" xfId="0" applyFont="1" applyFill="1" applyBorder="1" applyAlignment="1" applyProtection="1">
      <alignment horizontal="center" vertical="center" wrapText="1"/>
    </xf>
    <xf numFmtId="0" fontId="63" fillId="10" borderId="105" xfId="0" applyFont="1" applyFill="1" applyBorder="1" applyAlignment="1" applyProtection="1">
      <alignment horizontal="center" vertical="center" wrapText="1"/>
    </xf>
    <xf numFmtId="0" fontId="24" fillId="11" borderId="105" xfId="0" applyFont="1" applyFill="1" applyBorder="1" applyAlignment="1" applyProtection="1">
      <alignment horizontal="center" vertical="center" wrapText="1"/>
    </xf>
    <xf numFmtId="0" fontId="24" fillId="18" borderId="105" xfId="0" applyFont="1" applyFill="1" applyBorder="1" applyAlignment="1" applyProtection="1">
      <alignment horizontal="center" vertical="center" wrapText="1"/>
    </xf>
    <xf numFmtId="0" fontId="15" fillId="18" borderId="105" xfId="0" applyFont="1" applyFill="1" applyBorder="1" applyAlignment="1" applyProtection="1">
      <alignment horizontal="center" vertical="center" wrapText="1"/>
    </xf>
    <xf numFmtId="0" fontId="64" fillId="11" borderId="104" xfId="0" applyFont="1" applyFill="1" applyBorder="1" applyAlignment="1" applyProtection="1">
      <alignment horizontal="center" vertical="center" wrapText="1"/>
    </xf>
    <xf numFmtId="0" fontId="65" fillId="11" borderId="104" xfId="0" applyFont="1" applyFill="1" applyBorder="1" applyAlignment="1" applyProtection="1">
      <alignment horizontal="center" vertical="center" wrapText="1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65" fillId="18" borderId="104" xfId="0" applyFont="1" applyFill="1" applyBorder="1" applyAlignment="1" applyProtection="1">
      <alignment horizontal="center" vertical="center" wrapText="1"/>
    </xf>
    <xf numFmtId="0" fontId="64" fillId="11" borderId="104" xfId="0" applyFont="1" applyFill="1" applyBorder="1" applyAlignment="1" applyProtection="1">
      <alignment horizontal="center" vertical="center"/>
    </xf>
    <xf numFmtId="0" fontId="65" fillId="11" borderId="104" xfId="0" applyFont="1" applyFill="1" applyBorder="1" applyAlignment="1" applyProtection="1">
      <alignment horizontal="center" vertical="center"/>
    </xf>
    <xf numFmtId="0" fontId="15" fillId="18" borderId="104" xfId="0" applyFont="1" applyFill="1" applyBorder="1" applyAlignment="1" applyProtection="1">
      <alignment horizontal="center" vertical="center" wrapText="1"/>
    </xf>
    <xf numFmtId="0" fontId="15" fillId="11" borderId="104" xfId="0" applyFont="1" applyFill="1" applyBorder="1" applyAlignment="1" applyProtection="1">
      <alignment horizontal="center" vertical="center" wrapText="1"/>
    </xf>
    <xf numFmtId="0" fontId="64" fillId="6" borderId="104" xfId="0" applyFont="1" applyFill="1" applyBorder="1" applyAlignment="1" applyProtection="1">
      <alignment horizontal="center" vertical="center" wrapText="1"/>
      <protection locked="0"/>
    </xf>
    <xf numFmtId="0" fontId="65" fillId="6" borderId="104" xfId="0" applyFont="1" applyFill="1" applyBorder="1" applyAlignment="1" applyProtection="1">
      <alignment horizontal="center" vertical="center" wrapText="1"/>
      <protection locked="0"/>
    </xf>
    <xf numFmtId="0" fontId="63" fillId="10" borderId="10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5" fillId="0" borderId="6" xfId="1" applyFont="1" applyFill="1" applyBorder="1" applyAlignment="1">
      <alignment horizontal="center" vertical="center" wrapText="1"/>
    </xf>
    <xf numFmtId="3" fontId="54" fillId="0" borderId="6" xfId="0" applyNumberFormat="1" applyFont="1" applyFill="1" applyBorder="1" applyAlignment="1">
      <alignment horizontal="center" vertical="center" wrapText="1"/>
    </xf>
    <xf numFmtId="3" fontId="55" fillId="0" borderId="6" xfId="0" applyNumberFormat="1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center" vertical="center" wrapText="1"/>
    </xf>
    <xf numFmtId="1" fontId="54" fillId="0" borderId="6" xfId="0" applyNumberFormat="1" applyFont="1" applyFill="1" applyBorder="1" applyAlignment="1">
      <alignment vertical="center"/>
    </xf>
    <xf numFmtId="0" fontId="54" fillId="0" borderId="6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27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2" xfId="0" applyFont="1" applyFill="1" applyBorder="1"/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protection locked="0"/>
    </xf>
    <xf numFmtId="0" fontId="54" fillId="0" borderId="3" xfId="0" applyFont="1" applyFill="1" applyBorder="1" applyAlignment="1" applyProtection="1">
      <protection locked="0"/>
    </xf>
    <xf numFmtId="0" fontId="9" fillId="0" borderId="45" xfId="0" applyFont="1" applyBorder="1" applyAlignment="1">
      <alignment vertical="center"/>
    </xf>
    <xf numFmtId="9" fontId="9" fillId="0" borderId="0" xfId="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4" applyFont="1" applyFill="1" applyBorder="1" applyAlignment="1">
      <alignment horizontal="center" vertical="center"/>
    </xf>
    <xf numFmtId="9" fontId="0" fillId="0" borderId="0" xfId="4" applyFont="1" applyFill="1" applyBorder="1" applyAlignment="1">
      <alignment horizontal="center" vertical="center"/>
    </xf>
    <xf numFmtId="169" fontId="13" fillId="15" borderId="18" xfId="3" applyNumberFormat="1" applyFont="1" applyFill="1" applyBorder="1" applyAlignment="1" applyProtection="1"/>
    <xf numFmtId="0" fontId="26" fillId="0" borderId="0" xfId="0" applyFont="1" applyFill="1" applyAlignment="1" applyProtection="1">
      <alignment horizontal="left" vertical="center"/>
    </xf>
    <xf numFmtId="165" fontId="27" fillId="0" borderId="12" xfId="0" applyNumberFormat="1" applyFont="1" applyFill="1" applyBorder="1" applyAlignment="1" applyProtection="1">
      <alignment horizontal="center" vertical="center" wrapText="1"/>
    </xf>
    <xf numFmtId="3" fontId="27" fillId="0" borderId="6" xfId="0" applyNumberFormat="1" applyFont="1" applyFill="1" applyBorder="1" applyAlignment="1" applyProtection="1">
      <alignment horizontal="center" vertical="center" wrapText="1"/>
    </xf>
    <xf numFmtId="0" fontId="54" fillId="5" borderId="12" xfId="0" applyFont="1" applyFill="1" applyBorder="1"/>
    <xf numFmtId="0" fontId="54" fillId="5" borderId="27" xfId="0" applyFont="1" applyFill="1" applyBorder="1"/>
    <xf numFmtId="0" fontId="54" fillId="0" borderId="27" xfId="0" applyFont="1" applyFill="1" applyBorder="1"/>
    <xf numFmtId="0" fontId="54" fillId="0" borderId="13" xfId="0" applyFont="1" applyFill="1" applyBorder="1"/>
    <xf numFmtId="0" fontId="20" fillId="10" borderId="0" xfId="0" applyFont="1" applyFill="1" applyProtection="1"/>
    <xf numFmtId="0" fontId="66" fillId="10" borderId="0" xfId="1" applyFont="1" applyFill="1" applyBorder="1" applyAlignment="1">
      <alignment horizontal="center" vertical="center"/>
    </xf>
    <xf numFmtId="0" fontId="66" fillId="10" borderId="49" xfId="1" applyFont="1" applyFill="1" applyBorder="1" applyAlignment="1">
      <alignment horizontal="center" vertical="center"/>
    </xf>
    <xf numFmtId="0" fontId="66" fillId="10" borderId="25" xfId="1" applyFont="1" applyFill="1" applyBorder="1" applyAlignment="1">
      <alignment horizontal="center" vertical="center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15" fillId="6" borderId="105" xfId="0" applyFont="1" applyFill="1" applyBorder="1" applyAlignment="1" applyProtection="1">
      <alignment horizontal="center" vertical="center" wrapText="1"/>
      <protection locked="0"/>
    </xf>
    <xf numFmtId="168" fontId="27" fillId="2" borderId="3" xfId="0" applyNumberFormat="1" applyFont="1" applyFill="1" applyBorder="1" applyAlignment="1" applyProtection="1">
      <alignment vertical="center"/>
    </xf>
    <xf numFmtId="9" fontId="61" fillId="2" borderId="6" xfId="4" applyFont="1" applyFill="1" applyBorder="1" applyAlignment="1" applyProtection="1">
      <alignment vertical="center"/>
    </xf>
    <xf numFmtId="10" fontId="1" fillId="0" borderId="0" xfId="0" applyNumberFormat="1" applyFont="1"/>
    <xf numFmtId="165" fontId="0" fillId="0" borderId="0" xfId="0" applyNumberFormat="1" applyFill="1" applyProtection="1"/>
    <xf numFmtId="3" fontId="9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ill="1" applyBorder="1" applyAlignment="1" applyProtection="1">
      <alignment horizontal="center" vertical="center"/>
    </xf>
    <xf numFmtId="0" fontId="63" fillId="9" borderId="4" xfId="0" applyFont="1" applyFill="1" applyBorder="1" applyAlignment="1">
      <alignment horizontal="center" vertical="center"/>
    </xf>
    <xf numFmtId="0" fontId="63" fillId="9" borderId="50" xfId="0" applyFont="1" applyFill="1" applyBorder="1" applyAlignment="1">
      <alignment horizontal="center" vertical="center"/>
    </xf>
    <xf numFmtId="165" fontId="63" fillId="9" borderId="50" xfId="3" applyFont="1" applyFill="1" applyBorder="1" applyAlignment="1">
      <alignment horizontal="center" vertical="center"/>
    </xf>
    <xf numFmtId="169" fontId="63" fillId="9" borderId="54" xfId="3" applyNumberFormat="1" applyFont="1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48" fillId="9" borderId="6" xfId="0" applyFont="1" applyFill="1" applyBorder="1" applyAlignment="1" applyProtection="1">
      <alignment vertical="center"/>
    </xf>
    <xf numFmtId="0" fontId="48" fillId="9" borderId="6" xfId="0" applyFont="1" applyFill="1" applyBorder="1" applyAlignment="1" applyProtection="1">
      <alignment horizontal="center" vertical="center"/>
    </xf>
    <xf numFmtId="0" fontId="62" fillId="9" borderId="111" xfId="0" applyFont="1" applyFill="1" applyBorder="1" applyAlignment="1">
      <alignment horizontal="center" vertical="center" wrapText="1"/>
    </xf>
    <xf numFmtId="0" fontId="62" fillId="9" borderId="112" xfId="0" applyFont="1" applyFill="1" applyBorder="1" applyAlignment="1">
      <alignment horizontal="center" vertical="center" wrapText="1"/>
    </xf>
    <xf numFmtId="0" fontId="62" fillId="9" borderId="113" xfId="0" applyFont="1" applyFill="1" applyBorder="1" applyAlignment="1">
      <alignment horizontal="center" vertical="center" wrapText="1"/>
    </xf>
    <xf numFmtId="0" fontId="63" fillId="9" borderId="29" xfId="0" applyFont="1" applyFill="1" applyBorder="1" applyAlignment="1">
      <alignment horizontal="center" vertical="center"/>
    </xf>
    <xf numFmtId="0" fontId="63" fillId="9" borderId="20" xfId="0" applyFont="1" applyFill="1" applyBorder="1" applyAlignment="1">
      <alignment horizontal="center" vertical="center"/>
    </xf>
    <xf numFmtId="165" fontId="63" fillId="9" borderId="20" xfId="3" applyFont="1" applyFill="1" applyBorder="1" applyAlignment="1">
      <alignment horizontal="center" vertical="center"/>
    </xf>
    <xf numFmtId="169" fontId="63" fillId="9" borderId="21" xfId="3" applyNumberFormat="1" applyFont="1" applyFill="1" applyBorder="1" applyAlignment="1" applyProtection="1">
      <alignment vertical="center"/>
    </xf>
    <xf numFmtId="9" fontId="41" fillId="15" borderId="6" xfId="4" applyFont="1" applyFill="1" applyBorder="1" applyAlignment="1" applyProtection="1">
      <alignment horizontal="center" vertical="center"/>
      <protection locked="0"/>
    </xf>
    <xf numFmtId="0" fontId="24" fillId="15" borderId="69" xfId="0" applyFont="1" applyFill="1" applyBorder="1" applyAlignment="1" applyProtection="1">
      <alignment horizontal="center"/>
      <protection locked="0"/>
    </xf>
    <xf numFmtId="0" fontId="24" fillId="15" borderId="69" xfId="0" applyFont="1" applyFill="1" applyBorder="1" applyAlignment="1" applyProtection="1">
      <alignment horizontal="center" vertical="center"/>
      <protection locked="0"/>
    </xf>
    <xf numFmtId="0" fontId="24" fillId="15" borderId="69" xfId="3" applyNumberFormat="1" applyFont="1" applyFill="1" applyBorder="1" applyAlignment="1" applyProtection="1">
      <alignment horizontal="center"/>
      <protection locked="0"/>
    </xf>
    <xf numFmtId="0" fontId="24" fillId="15" borderId="7" xfId="0" applyFont="1" applyFill="1" applyBorder="1" applyAlignment="1" applyProtection="1">
      <alignment horizontal="left" vertical="center"/>
      <protection locked="0"/>
    </xf>
    <xf numFmtId="0" fontId="24" fillId="15" borderId="6" xfId="0" applyFont="1" applyFill="1" applyBorder="1" applyAlignment="1" applyProtection="1">
      <alignment horizontal="center" vertical="center"/>
      <protection locked="0"/>
    </xf>
    <xf numFmtId="0" fontId="24" fillId="15" borderId="6" xfId="3" applyNumberFormat="1" applyFont="1" applyFill="1" applyBorder="1" applyAlignment="1" applyProtection="1">
      <alignment horizontal="center" vertical="center"/>
      <protection locked="0"/>
    </xf>
    <xf numFmtId="0" fontId="12" fillId="15" borderId="6" xfId="0" applyFont="1" applyFill="1" applyBorder="1" applyAlignment="1" applyProtection="1">
      <alignment horizontal="left"/>
      <protection locked="0"/>
    </xf>
    <xf numFmtId="0" fontId="12" fillId="15" borderId="6" xfId="0" applyFont="1" applyFill="1" applyBorder="1" applyAlignment="1" applyProtection="1">
      <alignment horizontal="center"/>
      <protection locked="0"/>
    </xf>
    <xf numFmtId="0" fontId="12" fillId="15" borderId="6" xfId="0" applyNumberFormat="1" applyFont="1" applyFill="1" applyBorder="1" applyAlignment="1" applyProtection="1">
      <alignment horizontal="center"/>
      <protection locked="0"/>
    </xf>
    <xf numFmtId="0" fontId="52" fillId="15" borderId="6" xfId="0" applyFont="1" applyFill="1" applyBorder="1" applyAlignment="1" applyProtection="1">
      <alignment horizontal="left"/>
      <protection locked="0"/>
    </xf>
    <xf numFmtId="2" fontId="52" fillId="15" borderId="6" xfId="0" applyNumberFormat="1" applyFont="1" applyFill="1" applyBorder="1" applyAlignment="1" applyProtection="1">
      <alignment horizontal="center" vertical="center"/>
      <protection locked="0"/>
    </xf>
    <xf numFmtId="1" fontId="52" fillId="15" borderId="6" xfId="3" applyNumberFormat="1" applyFont="1" applyFill="1" applyBorder="1" applyAlignment="1" applyProtection="1">
      <alignment horizontal="center"/>
      <protection locked="0"/>
    </xf>
    <xf numFmtId="0" fontId="12" fillId="15" borderId="27" xfId="0" applyFont="1" applyFill="1" applyBorder="1" applyAlignment="1" applyProtection="1">
      <alignment horizontal="center"/>
      <protection locked="0"/>
    </xf>
    <xf numFmtId="169" fontId="12" fillId="15" borderId="18" xfId="3" applyNumberFormat="1" applyFont="1" applyFill="1" applyBorder="1" applyAlignment="1" applyProtection="1">
      <protection locked="0"/>
    </xf>
    <xf numFmtId="9" fontId="9" fillId="15" borderId="6" xfId="4" applyFont="1" applyFill="1" applyBorder="1" applyAlignment="1" applyProtection="1">
      <alignment horizontal="center" vertical="center"/>
      <protection locked="0"/>
    </xf>
    <xf numFmtId="0" fontId="28" fillId="12" borderId="6" xfId="0" applyFont="1" applyFill="1" applyBorder="1" applyAlignment="1" applyProtection="1">
      <alignment horizontal="center" vertical="center" wrapText="1"/>
      <protection locked="0"/>
    </xf>
    <xf numFmtId="0" fontId="28" fillId="12" borderId="53" xfId="0" applyFont="1" applyFill="1" applyBorder="1" applyAlignment="1" applyProtection="1">
      <alignment horizontal="center" vertical="center"/>
      <protection locked="0"/>
    </xf>
    <xf numFmtId="3" fontId="28" fillId="15" borderId="6" xfId="0" applyNumberFormat="1" applyFont="1" applyFill="1" applyBorder="1" applyAlignment="1" applyProtection="1">
      <alignment horizontal="center" vertical="center" wrapText="1"/>
      <protection locked="0"/>
    </xf>
    <xf numFmtId="3" fontId="28" fillId="12" borderId="10" xfId="0" applyNumberFormat="1" applyFont="1" applyFill="1" applyBorder="1" applyAlignment="1" applyProtection="1">
      <alignment horizontal="center" vertical="center"/>
      <protection locked="0"/>
    </xf>
    <xf numFmtId="3" fontId="27" fillId="14" borderId="10" xfId="0" applyNumberFormat="1" applyFont="1" applyFill="1" applyBorder="1" applyAlignment="1" applyProtection="1">
      <alignment horizontal="center" vertical="center"/>
      <protection locked="0"/>
    </xf>
    <xf numFmtId="3" fontId="27" fillId="0" borderId="53" xfId="0" applyNumberFormat="1" applyFont="1" applyFill="1" applyBorder="1" applyAlignment="1" applyProtection="1">
      <alignment horizontal="center" vertical="center"/>
    </xf>
    <xf numFmtId="3" fontId="27" fillId="0" borderId="67" xfId="0" applyNumberFormat="1" applyFont="1" applyFill="1" applyBorder="1" applyAlignment="1" applyProtection="1">
      <alignment horizontal="center" vertical="center"/>
    </xf>
    <xf numFmtId="3" fontId="27" fillId="0" borderId="6" xfId="0" applyNumberFormat="1" applyFont="1" applyFill="1" applyBorder="1" applyAlignment="1" applyProtection="1">
      <alignment horizontal="center" vertical="center"/>
    </xf>
    <xf numFmtId="10" fontId="28" fillId="12" borderId="6" xfId="0" applyNumberFormat="1" applyFont="1" applyFill="1" applyBorder="1" applyAlignment="1" applyProtection="1">
      <alignment horizontal="center" vertical="center" wrapText="1"/>
    </xf>
    <xf numFmtId="164" fontId="28" fillId="12" borderId="6" xfId="0" applyNumberFormat="1" applyFont="1" applyFill="1" applyBorder="1" applyAlignment="1" applyProtection="1">
      <alignment horizontal="center" vertical="center" wrapText="1"/>
    </xf>
    <xf numFmtId="2" fontId="28" fillId="12" borderId="6" xfId="0" applyNumberFormat="1" applyFont="1" applyFill="1" applyBorder="1" applyAlignment="1" applyProtection="1">
      <alignment horizontal="center" vertical="center" wrapText="1"/>
    </xf>
    <xf numFmtId="0" fontId="27" fillId="12" borderId="13" xfId="0" applyFont="1" applyFill="1" applyBorder="1" applyAlignment="1" applyProtection="1">
      <alignment horizontal="left" vertical="center" wrapText="1"/>
      <protection locked="0"/>
    </xf>
    <xf numFmtId="0" fontId="27" fillId="12" borderId="13" xfId="0" applyFont="1" applyFill="1" applyBorder="1" applyAlignment="1" applyProtection="1">
      <alignment vertical="center" wrapText="1"/>
      <protection locked="0"/>
    </xf>
    <xf numFmtId="0" fontId="24" fillId="15" borderId="110" xfId="0" applyFont="1" applyFill="1" applyBorder="1" applyAlignment="1" applyProtection="1">
      <alignment horizontal="center" vertical="center" wrapText="1"/>
      <protection locked="0"/>
    </xf>
    <xf numFmtId="0" fontId="24" fillId="15" borderId="104" xfId="0" applyFont="1" applyFill="1" applyBorder="1" applyAlignment="1" applyProtection="1">
      <alignment horizontal="center" vertical="center" wrapText="1"/>
      <protection locked="0"/>
    </xf>
    <xf numFmtId="0" fontId="27" fillId="12" borderId="6" xfId="0" applyFont="1" applyFill="1" applyBorder="1" applyAlignment="1" applyProtection="1">
      <alignment horizontal="center" vertical="center" wrapText="1"/>
      <protection locked="0"/>
    </xf>
    <xf numFmtId="0" fontId="2" fillId="2" borderId="7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165" fontId="1" fillId="14" borderId="12" xfId="0" applyNumberFormat="1" applyFont="1" applyFill="1" applyBorder="1" applyAlignment="1" applyProtection="1">
      <alignment horizontal="center" vertical="center" wrapText="1"/>
    </xf>
    <xf numFmtId="0" fontId="1" fillId="14" borderId="13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2" fontId="1" fillId="6" borderId="12" xfId="0" applyNumberFormat="1" applyFont="1" applyFill="1" applyBorder="1" applyAlignment="1" applyProtection="1">
      <alignment horizontal="center" vertical="center"/>
    </xf>
    <xf numFmtId="2" fontId="1" fillId="6" borderId="27" xfId="0" applyNumberFormat="1" applyFont="1" applyFill="1" applyBorder="1" applyAlignment="1" applyProtection="1">
      <alignment horizontal="center" vertical="center"/>
    </xf>
    <xf numFmtId="2" fontId="1" fillId="6" borderId="13" xfId="0" applyNumberFormat="1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left" vertical="center"/>
    </xf>
    <xf numFmtId="0" fontId="1" fillId="14" borderId="27" xfId="0" applyFont="1" applyFill="1" applyBorder="1" applyAlignment="1" applyProtection="1">
      <alignment horizontal="left" vertical="center"/>
    </xf>
    <xf numFmtId="0" fontId="67" fillId="0" borderId="2" xfId="0" applyFont="1" applyFill="1" applyBorder="1" applyAlignment="1" applyProtection="1">
      <alignment horizontal="left" vertical="center" wrapText="1"/>
    </xf>
    <xf numFmtId="0" fontId="67" fillId="0" borderId="0" xfId="0" applyFont="1" applyFill="1" applyBorder="1" applyAlignment="1" applyProtection="1">
      <alignment horizontal="left" vertical="center" wrapText="1"/>
    </xf>
    <xf numFmtId="0" fontId="67" fillId="0" borderId="3" xfId="0" applyFont="1" applyFill="1" applyBorder="1" applyAlignment="1" applyProtection="1">
      <alignment horizontal="left" vertical="center" wrapText="1"/>
    </xf>
    <xf numFmtId="165" fontId="13" fillId="19" borderId="12" xfId="0" applyNumberFormat="1" applyFont="1" applyFill="1" applyBorder="1" applyAlignment="1" applyProtection="1">
      <alignment horizontal="center" vertical="center" wrapText="1"/>
    </xf>
    <xf numFmtId="0" fontId="13" fillId="19" borderId="13" xfId="0" applyFont="1" applyFill="1" applyBorder="1" applyAlignment="1" applyProtection="1">
      <alignment horizontal="center" vertical="center" wrapText="1"/>
    </xf>
    <xf numFmtId="0" fontId="48" fillId="7" borderId="15" xfId="0" applyFont="1" applyFill="1" applyBorder="1" applyAlignment="1" applyProtection="1">
      <alignment horizontal="center" vertical="center"/>
    </xf>
    <xf numFmtId="0" fontId="48" fillId="7" borderId="19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" fontId="1" fillId="19" borderId="6" xfId="0" applyNumberFormat="1" applyFont="1" applyFill="1" applyBorder="1" applyAlignment="1" applyProtection="1">
      <alignment horizontal="center" vertical="center" wrapText="1"/>
    </xf>
    <xf numFmtId="165" fontId="1" fillId="14" borderId="34" xfId="0" applyNumberFormat="1" applyFont="1" applyFill="1" applyBorder="1" applyAlignment="1" applyProtection="1">
      <alignment horizontal="center" vertical="center" wrapText="1"/>
    </xf>
    <xf numFmtId="1" fontId="1" fillId="6" borderId="3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3" fontId="1" fillId="20" borderId="6" xfId="0" applyNumberFormat="1" applyFont="1" applyFill="1" applyBorder="1" applyAlignment="1" applyProtection="1">
      <alignment horizontal="center" vertical="center"/>
    </xf>
    <xf numFmtId="1" fontId="1" fillId="20" borderId="6" xfId="0" applyNumberFormat="1" applyFont="1" applyFill="1" applyBorder="1" applyAlignment="1" applyProtection="1">
      <alignment horizontal="center" vertical="center"/>
    </xf>
    <xf numFmtId="0" fontId="1" fillId="20" borderId="20" xfId="0" applyFont="1" applyFill="1" applyBorder="1" applyAlignment="1" applyProtection="1">
      <alignment horizontal="center" vertical="center" wrapText="1"/>
    </xf>
    <xf numFmtId="0" fontId="1" fillId="20" borderId="21" xfId="0" applyFont="1" applyFill="1" applyBorder="1" applyAlignment="1" applyProtection="1">
      <alignment horizontal="center" vertical="center" wrapText="1"/>
    </xf>
    <xf numFmtId="3" fontId="1" fillId="19" borderId="6" xfId="0" applyNumberFormat="1" applyFont="1" applyFill="1" applyBorder="1" applyAlignment="1" applyProtection="1">
      <alignment horizontal="center" vertical="center" wrapText="1"/>
    </xf>
    <xf numFmtId="2" fontId="1" fillId="20" borderId="6" xfId="0" applyNumberFormat="1" applyFont="1" applyFill="1" applyBorder="1" applyAlignment="1" applyProtection="1">
      <alignment horizontal="center" vertical="center"/>
    </xf>
    <xf numFmtId="3" fontId="1" fillId="20" borderId="12" xfId="0" applyNumberFormat="1" applyFont="1" applyFill="1" applyBorder="1" applyAlignment="1" applyProtection="1">
      <alignment horizontal="center" vertical="center"/>
    </xf>
    <xf numFmtId="3" fontId="1" fillId="20" borderId="13" xfId="0" applyNumberFormat="1" applyFont="1" applyFill="1" applyBorder="1" applyAlignment="1" applyProtection="1">
      <alignment horizontal="center" vertical="center"/>
    </xf>
    <xf numFmtId="1" fontId="1" fillId="6" borderId="12" xfId="0" applyNumberFormat="1" applyFont="1" applyFill="1" applyBorder="1" applyAlignment="1" applyProtection="1">
      <alignment horizontal="center" vertical="center"/>
    </xf>
    <xf numFmtId="1" fontId="1" fillId="6" borderId="27" xfId="0" applyNumberFormat="1" applyFont="1" applyFill="1" applyBorder="1" applyAlignment="1" applyProtection="1">
      <alignment horizontal="center" vertical="center"/>
    </xf>
    <xf numFmtId="1" fontId="1" fillId="6" borderId="13" xfId="0" applyNumberFormat="1" applyFont="1" applyFill="1" applyBorder="1" applyAlignment="1" applyProtection="1">
      <alignment horizontal="center" vertical="center"/>
    </xf>
    <xf numFmtId="3" fontId="1" fillId="6" borderId="12" xfId="0" applyNumberFormat="1" applyFont="1" applyFill="1" applyBorder="1" applyAlignment="1" applyProtection="1">
      <alignment horizontal="center" vertical="center"/>
    </xf>
    <xf numFmtId="3" fontId="1" fillId="6" borderId="27" xfId="0" applyNumberFormat="1" applyFont="1" applyFill="1" applyBorder="1" applyAlignment="1" applyProtection="1">
      <alignment horizontal="center" vertical="center"/>
    </xf>
    <xf numFmtId="3" fontId="1" fillId="6" borderId="13" xfId="0" applyNumberFormat="1" applyFont="1" applyFill="1" applyBorder="1" applyAlignment="1" applyProtection="1">
      <alignment horizontal="center" vertical="center"/>
    </xf>
    <xf numFmtId="0" fontId="13" fillId="19" borderId="12" xfId="0" applyFont="1" applyFill="1" applyBorder="1" applyAlignment="1" applyProtection="1">
      <alignment horizontal="left" vertical="center" wrapText="1"/>
    </xf>
    <xf numFmtId="0" fontId="13" fillId="19" borderId="27" xfId="0" applyFont="1" applyFill="1" applyBorder="1" applyAlignment="1" applyProtection="1">
      <alignment horizontal="left" vertical="center" wrapText="1"/>
    </xf>
    <xf numFmtId="0" fontId="1" fillId="14" borderId="12" xfId="0" applyFont="1" applyFill="1" applyBorder="1" applyAlignment="1" applyProtection="1">
      <alignment horizontal="left" vertical="center" wrapText="1"/>
    </xf>
    <xf numFmtId="0" fontId="1" fillId="14" borderId="27" xfId="0" applyFont="1" applyFill="1" applyBorder="1" applyAlignment="1" applyProtection="1">
      <alignment horizontal="left" vertical="center" wrapText="1"/>
    </xf>
    <xf numFmtId="0" fontId="1" fillId="14" borderId="44" xfId="0" applyFont="1" applyFill="1" applyBorder="1" applyAlignment="1" applyProtection="1">
      <alignment horizontal="left" vertical="center" wrapText="1"/>
    </xf>
    <xf numFmtId="0" fontId="1" fillId="14" borderId="33" xfId="0" applyFont="1" applyFill="1" applyBorder="1" applyAlignment="1" applyProtection="1">
      <alignment horizontal="left" vertical="center" wrapText="1"/>
    </xf>
    <xf numFmtId="10" fontId="1" fillId="6" borderId="12" xfId="0" applyNumberFormat="1" applyFont="1" applyFill="1" applyBorder="1" applyAlignment="1" applyProtection="1">
      <alignment horizontal="center" vertical="center"/>
    </xf>
    <xf numFmtId="10" fontId="1" fillId="6" borderId="27" xfId="0" applyNumberFormat="1" applyFont="1" applyFill="1" applyBorder="1" applyAlignment="1" applyProtection="1">
      <alignment horizontal="center" vertical="center"/>
    </xf>
    <xf numFmtId="10" fontId="1" fillId="6" borderId="13" xfId="0" applyNumberFormat="1" applyFont="1" applyFill="1" applyBorder="1" applyAlignment="1" applyProtection="1">
      <alignment horizontal="center" vertical="center"/>
    </xf>
    <xf numFmtId="0" fontId="48" fillId="7" borderId="62" xfId="0" applyFont="1" applyFill="1" applyBorder="1" applyAlignment="1" applyProtection="1">
      <alignment horizontal="center" vertical="center"/>
    </xf>
    <xf numFmtId="0" fontId="48" fillId="7" borderId="23" xfId="0" applyFont="1" applyFill="1" applyBorder="1" applyAlignment="1" applyProtection="1">
      <alignment horizontal="center" vertical="center"/>
    </xf>
    <xf numFmtId="0" fontId="22" fillId="7" borderId="44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" vertical="center"/>
    </xf>
    <xf numFmtId="0" fontId="7" fillId="7" borderId="45" xfId="0" applyFont="1" applyFill="1" applyBorder="1" applyAlignment="1" applyProtection="1">
      <alignment horizontal="center" vertical="center"/>
    </xf>
    <xf numFmtId="0" fontId="1" fillId="20" borderId="5" xfId="0" applyFont="1" applyFill="1" applyBorder="1" applyAlignment="1" applyProtection="1">
      <alignment horizontal="center" vertical="center"/>
    </xf>
    <xf numFmtId="0" fontId="1" fillId="20" borderId="51" xfId="0" applyFont="1" applyFill="1" applyBorder="1" applyAlignment="1" applyProtection="1">
      <alignment horizontal="center" vertical="center"/>
    </xf>
    <xf numFmtId="0" fontId="1" fillId="20" borderId="52" xfId="0" applyFont="1" applyFill="1" applyBorder="1" applyAlignment="1" applyProtection="1">
      <alignment horizontal="center" vertical="center"/>
    </xf>
    <xf numFmtId="14" fontId="1" fillId="20" borderId="54" xfId="0" applyNumberFormat="1" applyFont="1" applyFill="1" applyBorder="1" applyAlignment="1" applyProtection="1">
      <alignment horizontal="center" vertical="center"/>
    </xf>
    <xf numFmtId="14" fontId="1" fillId="20" borderId="74" xfId="0" applyNumberFormat="1" applyFont="1" applyFill="1" applyBorder="1" applyAlignment="1" applyProtection="1">
      <alignment horizontal="center" vertical="center"/>
    </xf>
    <xf numFmtId="0" fontId="1" fillId="20" borderId="51" xfId="0" applyFont="1" applyFill="1" applyBorder="1" applyAlignment="1" applyProtection="1">
      <alignment horizontal="center" vertical="center" wrapText="1"/>
    </xf>
    <xf numFmtId="0" fontId="1" fillId="20" borderId="52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45" fillId="0" borderId="2" xfId="0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 applyProtection="1">
      <alignment horizontal="left" vertical="center" wrapText="1"/>
    </xf>
    <xf numFmtId="0" fontId="12" fillId="20" borderId="5" xfId="0" applyFont="1" applyFill="1" applyBorder="1" applyAlignment="1" applyProtection="1">
      <alignment horizontal="center" vertical="center" wrapText="1"/>
    </xf>
    <xf numFmtId="0" fontId="12" fillId="20" borderId="51" xfId="0" applyFont="1" applyFill="1" applyBorder="1" applyAlignment="1" applyProtection="1">
      <alignment horizontal="center" vertical="center"/>
    </xf>
    <xf numFmtId="0" fontId="12" fillId="20" borderId="5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51" xfId="0" applyFont="1" applyFill="1" applyBorder="1" applyAlignment="1" applyProtection="1">
      <alignment horizontal="left" vertical="center"/>
    </xf>
    <xf numFmtId="0" fontId="12" fillId="0" borderId="52" xfId="0" applyFont="1" applyFill="1" applyBorder="1" applyAlignment="1" applyProtection="1">
      <alignment horizontal="left" vertical="center"/>
    </xf>
    <xf numFmtId="0" fontId="37" fillId="20" borderId="5" xfId="0" applyFont="1" applyFill="1" applyBorder="1" applyAlignment="1" applyProtection="1">
      <alignment horizontal="center" vertical="center"/>
    </xf>
    <xf numFmtId="0" fontId="37" fillId="20" borderId="51" xfId="0" applyFont="1" applyFill="1" applyBorder="1" applyAlignment="1" applyProtection="1">
      <alignment horizontal="center" vertical="center"/>
    </xf>
    <xf numFmtId="0" fontId="37" fillId="20" borderId="5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29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2" fillId="19" borderId="15" xfId="0" applyFont="1" applyFill="1" applyBorder="1" applyAlignment="1" applyProtection="1">
      <alignment horizontal="center" vertical="center" wrapText="1"/>
    </xf>
    <xf numFmtId="0" fontId="12" fillId="19" borderId="16" xfId="0" applyFont="1" applyFill="1" applyBorder="1" applyAlignment="1" applyProtection="1">
      <alignment horizontal="center" vertical="center" wrapText="1"/>
    </xf>
    <xf numFmtId="0" fontId="12" fillId="19" borderId="19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3" fontId="13" fillId="0" borderId="77" xfId="0" applyNumberFormat="1" applyFont="1" applyFill="1" applyBorder="1" applyAlignment="1" applyProtection="1">
      <alignment horizontal="center" vertical="center" wrapText="1"/>
    </xf>
    <xf numFmtId="3" fontId="13" fillId="0" borderId="58" xfId="0" applyNumberFormat="1" applyFont="1" applyFill="1" applyBorder="1" applyAlignment="1" applyProtection="1">
      <alignment horizontal="center" vertical="center" wrapText="1"/>
    </xf>
    <xf numFmtId="3" fontId="13" fillId="0" borderId="63" xfId="0" applyNumberFormat="1" applyFont="1" applyFill="1" applyBorder="1" applyAlignment="1" applyProtection="1">
      <alignment horizontal="center" vertical="center" wrapText="1"/>
    </xf>
    <xf numFmtId="3" fontId="12" fillId="0" borderId="63" xfId="0" applyNumberFormat="1" applyFont="1" applyFill="1" applyBorder="1" applyAlignment="1" applyProtection="1">
      <alignment horizontal="center" vertical="center" wrapText="1"/>
    </xf>
    <xf numFmtId="3" fontId="12" fillId="0" borderId="75" xfId="0" applyNumberFormat="1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0" fontId="13" fillId="0" borderId="61" xfId="0" applyFont="1" applyFill="1" applyBorder="1" applyAlignment="1" applyProtection="1">
      <alignment horizontal="left" vertical="center" wrapText="1"/>
    </xf>
    <xf numFmtId="0" fontId="13" fillId="20" borderId="61" xfId="0" applyFont="1" applyFill="1" applyBorder="1" applyAlignment="1" applyProtection="1">
      <alignment horizontal="center" vertical="center" wrapText="1"/>
    </xf>
    <xf numFmtId="0" fontId="1" fillId="0" borderId="61" xfId="0" applyFont="1" applyFill="1" applyBorder="1" applyAlignment="1" applyProtection="1">
      <alignment horizontal="left" vertical="center" wrapText="1"/>
    </xf>
    <xf numFmtId="0" fontId="13" fillId="20" borderId="20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77" xfId="0" applyFont="1" applyFill="1" applyBorder="1" applyAlignment="1" applyProtection="1">
      <alignment horizontal="left" vertical="center" wrapText="1"/>
    </xf>
    <xf numFmtId="0" fontId="1" fillId="0" borderId="64" xfId="0" applyFont="1" applyFill="1" applyBorder="1" applyAlignment="1" applyProtection="1">
      <alignment horizontal="left" vertical="center" wrapText="1"/>
    </xf>
    <xf numFmtId="0" fontId="20" fillId="20" borderId="61" xfId="0" applyFont="1" applyFill="1" applyBorder="1" applyAlignment="1" applyProtection="1">
      <alignment horizontal="center" vertical="center" wrapText="1"/>
    </xf>
    <xf numFmtId="0" fontId="20" fillId="20" borderId="76" xfId="0" applyFont="1" applyFill="1" applyBorder="1" applyAlignment="1" applyProtection="1">
      <alignment horizontal="center" vertical="center" wrapText="1"/>
    </xf>
    <xf numFmtId="0" fontId="20" fillId="20" borderId="6" xfId="0" applyFont="1" applyFill="1" applyBorder="1" applyAlignment="1" applyProtection="1">
      <alignment horizontal="center" vertical="center" wrapText="1"/>
    </xf>
    <xf numFmtId="0" fontId="20" fillId="20" borderId="18" xfId="0" applyFont="1" applyFill="1" applyBorder="1" applyAlignment="1" applyProtection="1">
      <alignment horizontal="center" vertical="center" wrapText="1"/>
    </xf>
    <xf numFmtId="165" fontId="1" fillId="14" borderId="44" xfId="0" applyNumberFormat="1" applyFont="1" applyFill="1" applyBorder="1" applyAlignment="1" applyProtection="1">
      <alignment horizontal="center" vertical="center" wrapText="1"/>
    </xf>
    <xf numFmtId="0" fontId="1" fillId="14" borderId="45" xfId="0" applyFont="1" applyFill="1" applyBorder="1" applyAlignment="1" applyProtection="1">
      <alignment horizontal="center" vertical="center" wrapText="1"/>
    </xf>
    <xf numFmtId="0" fontId="20" fillId="20" borderId="20" xfId="0" applyFont="1" applyFill="1" applyBorder="1" applyAlignment="1" applyProtection="1">
      <alignment horizontal="center" vertical="center" wrapText="1"/>
    </xf>
    <xf numFmtId="0" fontId="20" fillId="20" borderId="21" xfId="0" applyFont="1" applyFill="1" applyBorder="1" applyAlignment="1" applyProtection="1">
      <alignment horizontal="center" vertical="center" wrapText="1"/>
    </xf>
    <xf numFmtId="0" fontId="13" fillId="20" borderId="6" xfId="0" applyFont="1" applyFill="1" applyBorder="1" applyAlignment="1" applyProtection="1">
      <alignment horizontal="center" vertical="center" wrapText="1"/>
    </xf>
    <xf numFmtId="0" fontId="1" fillId="20" borderId="62" xfId="0" applyFont="1" applyFill="1" applyBorder="1" applyAlignment="1" applyProtection="1">
      <alignment horizontal="center" vertical="center" wrapText="1"/>
    </xf>
    <xf numFmtId="0" fontId="1" fillId="20" borderId="23" xfId="0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 applyProtection="1">
      <alignment horizontal="center" vertical="center" wrapText="1"/>
    </xf>
    <xf numFmtId="2" fontId="1" fillId="19" borderId="6" xfId="0" applyNumberFormat="1" applyFont="1" applyFill="1" applyBorder="1" applyAlignment="1" applyProtection="1">
      <alignment horizontal="center" vertical="center" wrapText="1"/>
    </xf>
    <xf numFmtId="0" fontId="48" fillId="7" borderId="16" xfId="0" applyFont="1" applyFill="1" applyBorder="1" applyAlignment="1" applyProtection="1">
      <alignment horizontal="center" vertical="center"/>
    </xf>
    <xf numFmtId="0" fontId="48" fillId="7" borderId="31" xfId="0" applyFont="1" applyFill="1" applyBorder="1" applyAlignment="1" applyProtection="1">
      <alignment horizontal="center" vertical="center"/>
    </xf>
    <xf numFmtId="165" fontId="1" fillId="19" borderId="12" xfId="0" applyNumberFormat="1" applyFont="1" applyFill="1" applyBorder="1" applyAlignment="1" applyProtection="1">
      <alignment horizontal="center" vertical="center" wrapText="1"/>
    </xf>
    <xf numFmtId="0" fontId="1" fillId="19" borderId="1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2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20" borderId="61" xfId="0" applyFont="1" applyFill="1" applyBorder="1" applyAlignment="1" applyProtection="1">
      <alignment horizontal="center" vertical="center" wrapText="1"/>
    </xf>
    <xf numFmtId="0" fontId="1" fillId="20" borderId="76" xfId="0" applyFont="1" applyFill="1" applyBorder="1" applyAlignment="1" applyProtection="1">
      <alignment horizontal="center" vertical="center" wrapText="1"/>
    </xf>
    <xf numFmtId="165" fontId="13" fillId="19" borderId="12" xfId="0" applyNumberFormat="1" applyFont="1" applyFill="1" applyBorder="1" applyAlignment="1" applyProtection="1">
      <alignment horizontal="left" vertical="center" wrapText="1"/>
    </xf>
    <xf numFmtId="165" fontId="13" fillId="19" borderId="27" xfId="0" applyNumberFormat="1" applyFont="1" applyFill="1" applyBorder="1" applyAlignment="1" applyProtection="1">
      <alignment horizontal="left" vertical="center" wrapText="1"/>
    </xf>
    <xf numFmtId="0" fontId="1" fillId="20" borderId="63" xfId="0" applyFont="1" applyFill="1" applyBorder="1" applyAlignment="1" applyProtection="1">
      <alignment horizontal="center" vertical="center" wrapText="1"/>
    </xf>
    <xf numFmtId="0" fontId="1" fillId="20" borderId="64" xfId="0" applyFont="1" applyFill="1" applyBorder="1" applyAlignment="1" applyProtection="1">
      <alignment horizontal="center" vertical="center" wrapText="1"/>
    </xf>
    <xf numFmtId="0" fontId="1" fillId="20" borderId="75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63" xfId="0" applyFont="1" applyFill="1" applyBorder="1" applyAlignment="1" applyProtection="1">
      <alignment horizontal="left" vertical="center" wrapText="1"/>
    </xf>
    <xf numFmtId="0" fontId="1" fillId="0" borderId="58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/>
    </xf>
    <xf numFmtId="0" fontId="13" fillId="0" borderId="20" xfId="0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5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0" fontId="43" fillId="9" borderId="15" xfId="0" applyFont="1" applyFill="1" applyBorder="1" applyAlignment="1">
      <alignment horizontal="left"/>
    </xf>
    <xf numFmtId="0" fontId="43" fillId="9" borderId="16" xfId="0" applyFont="1" applyFill="1" applyBorder="1" applyAlignment="1">
      <alignment horizontal="left"/>
    </xf>
    <xf numFmtId="0" fontId="43" fillId="9" borderId="19" xfId="0" applyFont="1" applyFill="1" applyBorder="1" applyAlignment="1">
      <alignment horizontal="left"/>
    </xf>
    <xf numFmtId="0" fontId="43" fillId="9" borderId="7" xfId="0" applyFont="1" applyFill="1" applyBorder="1" applyAlignment="1">
      <alignment horizontal="center" vertical="center" wrapText="1"/>
    </xf>
    <xf numFmtId="0" fontId="43" fillId="9" borderId="6" xfId="0" applyFont="1" applyFill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/>
    </xf>
    <xf numFmtId="0" fontId="52" fillId="15" borderId="6" xfId="0" applyNumberFormat="1" applyFont="1" applyFill="1" applyBorder="1" applyAlignment="1" applyProtection="1">
      <alignment horizontal="center"/>
      <protection locked="0"/>
    </xf>
    <xf numFmtId="0" fontId="52" fillId="15" borderId="18" xfId="0" applyNumberFormat="1" applyFont="1" applyFill="1" applyBorder="1" applyAlignment="1" applyProtection="1">
      <alignment horizontal="center"/>
      <protection locked="0"/>
    </xf>
    <xf numFmtId="0" fontId="49" fillId="0" borderId="6" xfId="0" applyNumberFormat="1" applyFont="1" applyFill="1" applyBorder="1" applyAlignment="1" applyProtection="1">
      <alignment horizontal="center"/>
    </xf>
    <xf numFmtId="0" fontId="49" fillId="0" borderId="18" xfId="0" applyNumberFormat="1" applyFont="1" applyFill="1" applyBorder="1" applyAlignment="1" applyProtection="1">
      <alignment horizontal="center"/>
    </xf>
    <xf numFmtId="1" fontId="49" fillId="0" borderId="6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53" fillId="0" borderId="6" xfId="0" applyNumberFormat="1" applyFont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2" fontId="43" fillId="8" borderId="6" xfId="0" applyNumberFormat="1" applyFont="1" applyFill="1" applyBorder="1" applyAlignment="1">
      <alignment horizontal="center"/>
    </xf>
    <xf numFmtId="2" fontId="43" fillId="8" borderId="18" xfId="0" applyNumberFormat="1" applyFont="1" applyFill="1" applyBorder="1" applyAlignment="1">
      <alignment horizontal="center"/>
    </xf>
    <xf numFmtId="1" fontId="49" fillId="0" borderId="6" xfId="0" applyNumberFormat="1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0" fontId="51" fillId="15" borderId="6" xfId="0" applyFont="1" applyFill="1" applyBorder="1" applyAlignment="1" applyProtection="1">
      <alignment horizontal="center"/>
      <protection locked="0"/>
    </xf>
    <xf numFmtId="0" fontId="49" fillId="0" borderId="6" xfId="0" applyNumberFormat="1" applyFont="1" applyFill="1" applyBorder="1" applyAlignment="1">
      <alignment horizontal="center"/>
    </xf>
    <xf numFmtId="0" fontId="49" fillId="0" borderId="18" xfId="0" applyNumberFormat="1" applyFont="1" applyFill="1" applyBorder="1" applyAlignment="1">
      <alignment horizontal="center"/>
    </xf>
    <xf numFmtId="0" fontId="51" fillId="15" borderId="6" xfId="0" applyNumberFormat="1" applyFont="1" applyFill="1" applyBorder="1" applyAlignment="1" applyProtection="1">
      <alignment horizontal="center"/>
      <protection locked="0"/>
    </xf>
    <xf numFmtId="0" fontId="53" fillId="0" borderId="6" xfId="0" applyNumberFormat="1" applyFont="1" applyFill="1" applyBorder="1" applyAlignment="1" applyProtection="1">
      <alignment horizontal="center"/>
    </xf>
    <xf numFmtId="1" fontId="49" fillId="6" borderId="6" xfId="0" applyNumberFormat="1" applyFont="1" applyFill="1" applyBorder="1" applyAlignment="1" applyProtection="1">
      <alignment horizontal="center"/>
      <protection locked="0"/>
    </xf>
    <xf numFmtId="1" fontId="49" fillId="6" borderId="18" xfId="0" applyNumberFormat="1" applyFont="1" applyFill="1" applyBorder="1" applyAlignment="1" applyProtection="1">
      <alignment horizontal="center"/>
      <protection locked="0"/>
    </xf>
    <xf numFmtId="0" fontId="53" fillId="0" borderId="20" xfId="0" applyNumberFormat="1" applyFont="1" applyFill="1" applyBorder="1" applyAlignment="1" applyProtection="1">
      <alignment horizontal="center"/>
    </xf>
    <xf numFmtId="0" fontId="49" fillId="0" borderId="20" xfId="0" applyNumberFormat="1" applyFont="1" applyFill="1" applyBorder="1" applyAlignment="1">
      <alignment horizontal="center"/>
    </xf>
    <xf numFmtId="0" fontId="49" fillId="0" borderId="21" xfId="0" applyNumberFormat="1" applyFont="1" applyFill="1" applyBorder="1" applyAlignment="1">
      <alignment horizontal="center"/>
    </xf>
    <xf numFmtId="0" fontId="43" fillId="8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62" fillId="8" borderId="51" xfId="0" applyFont="1" applyFill="1" applyBorder="1" applyAlignment="1">
      <alignment horizontal="center" vertical="center"/>
    </xf>
    <xf numFmtId="0" fontId="62" fillId="8" borderId="52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3" fillId="8" borderId="6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53" fillId="0" borderId="6" xfId="0" applyFont="1" applyFill="1" applyBorder="1" applyAlignment="1" applyProtection="1">
      <alignment horizontal="center"/>
    </xf>
    <xf numFmtId="1" fontId="52" fillId="23" borderId="6" xfId="0" applyNumberFormat="1" applyFont="1" applyFill="1" applyBorder="1" applyAlignment="1" applyProtection="1">
      <alignment horizontal="center"/>
    </xf>
    <xf numFmtId="1" fontId="52" fillId="23" borderId="18" xfId="0" applyNumberFormat="1" applyFont="1" applyFill="1" applyBorder="1" applyAlignment="1" applyProtection="1">
      <alignment horizontal="center"/>
    </xf>
    <xf numFmtId="0" fontId="48" fillId="17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14" borderId="7" xfId="0" applyFont="1" applyFill="1" applyBorder="1" applyAlignment="1" applyProtection="1">
      <alignment horizontal="left" vertical="center" wrapText="1"/>
      <protection locked="0"/>
    </xf>
    <xf numFmtId="0" fontId="27" fillId="14" borderId="6" xfId="0" applyFont="1" applyFill="1" applyBorder="1" applyAlignment="1" applyProtection="1">
      <alignment horizontal="left" vertical="center" wrapText="1"/>
      <protection locked="0"/>
    </xf>
    <xf numFmtId="0" fontId="46" fillId="7" borderId="57" xfId="0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left" vertical="center"/>
    </xf>
    <xf numFmtId="0" fontId="27" fillId="2" borderId="23" xfId="0" applyFont="1" applyFill="1" applyBorder="1" applyAlignment="1" applyProtection="1">
      <alignment horizontal="left" vertical="center"/>
    </xf>
    <xf numFmtId="0" fontId="27" fillId="2" borderId="24" xfId="0" applyFont="1" applyFill="1" applyBorder="1" applyAlignment="1" applyProtection="1">
      <alignment horizontal="left" vertical="center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20" xfId="0" applyFont="1" applyFill="1" applyBorder="1" applyAlignment="1" applyProtection="1">
      <alignment horizontal="left" vertical="center"/>
    </xf>
    <xf numFmtId="0" fontId="46" fillId="7" borderId="57" xfId="0" applyFont="1" applyFill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vertical="center" wrapText="1"/>
    </xf>
    <xf numFmtId="0" fontId="27" fillId="2" borderId="6" xfId="0" applyFont="1" applyFill="1" applyBorder="1" applyAlignment="1" applyProtection="1">
      <alignment vertical="center" wrapText="1"/>
    </xf>
    <xf numFmtId="0" fontId="28" fillId="15" borderId="12" xfId="0" applyFont="1" applyFill="1" applyBorder="1" applyAlignment="1" applyProtection="1">
      <alignment horizontal="center" vertical="center" wrapText="1"/>
      <protection locked="0"/>
    </xf>
    <xf numFmtId="0" fontId="28" fillId="15" borderId="13" xfId="0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Alignment="1" applyProtection="1">
      <alignment horizontal="left" vertical="center" wrapText="1"/>
    </xf>
    <xf numFmtId="0" fontId="27" fillId="0" borderId="23" xfId="0" applyFont="1" applyFill="1" applyBorder="1" applyAlignment="1" applyProtection="1">
      <alignment horizontal="left" vertical="center"/>
    </xf>
    <xf numFmtId="0" fontId="27" fillId="0" borderId="11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78" xfId="0" applyFont="1" applyFill="1" applyBorder="1" applyAlignment="1" applyProtection="1">
      <alignment horizontal="center" vertical="center"/>
    </xf>
    <xf numFmtId="0" fontId="59" fillId="0" borderId="2" xfId="0" applyFont="1" applyFill="1" applyBorder="1" applyAlignment="1" applyProtection="1">
      <alignment horizontal="left" vertical="center" wrapText="1"/>
    </xf>
    <xf numFmtId="0" fontId="59" fillId="0" borderId="0" xfId="0" applyFont="1" applyFill="1" applyBorder="1" applyAlignment="1" applyProtection="1">
      <alignment horizontal="left" vertical="center" wrapText="1"/>
    </xf>
    <xf numFmtId="0" fontId="59" fillId="0" borderId="3" xfId="0" applyFont="1" applyFill="1" applyBorder="1" applyAlignment="1" applyProtection="1">
      <alignment horizontal="left" vertical="center" wrapText="1"/>
    </xf>
    <xf numFmtId="0" fontId="27" fillId="14" borderId="7" xfId="0" applyFont="1" applyFill="1" applyBorder="1" applyAlignment="1" applyProtection="1">
      <alignment vertical="center" wrapText="1"/>
      <protection locked="0"/>
    </xf>
    <xf numFmtId="0" fontId="27" fillId="14" borderId="6" xfId="0" applyFont="1" applyFill="1" applyBorder="1" applyAlignment="1" applyProtection="1">
      <alignment vertical="center" wrapText="1"/>
      <protection locked="0"/>
    </xf>
    <xf numFmtId="0" fontId="27" fillId="2" borderId="62" xfId="0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center" vertical="center"/>
    </xf>
    <xf numFmtId="0" fontId="27" fillId="2" borderId="44" xfId="0" applyFont="1" applyFill="1" applyBorder="1" applyAlignment="1" applyProtection="1">
      <alignment horizontal="center" vertical="center"/>
    </xf>
    <xf numFmtId="0" fontId="27" fillId="2" borderId="63" xfId="0" applyFont="1" applyFill="1" applyBorder="1" applyAlignment="1" applyProtection="1">
      <alignment horizontal="center" vertical="center"/>
    </xf>
    <xf numFmtId="0" fontId="46" fillId="12" borderId="31" xfId="0" applyFont="1" applyFill="1" applyBorder="1" applyAlignment="1" applyProtection="1">
      <alignment horizontal="center" vertical="center" wrapText="1"/>
    </xf>
    <xf numFmtId="0" fontId="46" fillId="12" borderId="82" xfId="0" applyFont="1" applyFill="1" applyBorder="1" applyAlignment="1" applyProtection="1">
      <alignment horizontal="center" vertical="center" wrapText="1"/>
    </xf>
    <xf numFmtId="0" fontId="27" fillId="15" borderId="62" xfId="0" applyFont="1" applyFill="1" applyBorder="1" applyAlignment="1" applyProtection="1">
      <alignment horizontal="center" vertical="center" wrapText="1"/>
      <protection locked="0"/>
    </xf>
    <xf numFmtId="0" fontId="27" fillId="15" borderId="11" xfId="0" applyFont="1" applyFill="1" applyBorder="1" applyAlignment="1" applyProtection="1">
      <alignment horizontal="center" vertical="center" wrapText="1"/>
      <protection locked="0"/>
    </xf>
    <xf numFmtId="0" fontId="46" fillId="7" borderId="50" xfId="0" applyFont="1" applyFill="1" applyBorder="1" applyAlignment="1" applyProtection="1">
      <alignment horizontal="center" vertical="center" wrapText="1"/>
    </xf>
    <xf numFmtId="0" fontId="46" fillId="7" borderId="61" xfId="0" applyFont="1" applyFill="1" applyBorder="1" applyAlignment="1" applyProtection="1">
      <alignment horizontal="center" vertical="center"/>
    </xf>
    <xf numFmtId="0" fontId="46" fillId="7" borderId="20" xfId="0" applyFont="1" applyFill="1" applyBorder="1" applyAlignment="1" applyProtection="1">
      <alignment horizontal="center" vertical="center"/>
    </xf>
    <xf numFmtId="0" fontId="46" fillId="7" borderId="5" xfId="0" applyFont="1" applyFill="1" applyBorder="1" applyAlignment="1" applyProtection="1">
      <alignment horizontal="center" vertical="center" wrapText="1"/>
    </xf>
    <xf numFmtId="0" fontId="46" fillId="7" borderId="51" xfId="0" applyFont="1" applyFill="1" applyBorder="1" applyAlignment="1" applyProtection="1">
      <alignment horizontal="center" vertical="center" wrapText="1"/>
    </xf>
    <xf numFmtId="0" fontId="46" fillId="7" borderId="52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/>
    </xf>
    <xf numFmtId="0" fontId="27" fillId="2" borderId="39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0" fontId="27" fillId="2" borderId="13" xfId="0" applyFont="1" applyFill="1" applyBorder="1" applyAlignment="1" applyProtection="1">
      <alignment horizontal="left" vertical="center" wrapText="1"/>
    </xf>
    <xf numFmtId="0" fontId="27" fillId="2" borderId="7" xfId="0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27" fillId="6" borderId="27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46" fillId="17" borderId="23" xfId="0" applyFont="1" applyFill="1" applyBorder="1" applyAlignment="1" applyProtection="1">
      <alignment horizontal="center" vertical="center" wrapText="1"/>
    </xf>
    <xf numFmtId="0" fontId="46" fillId="17" borderId="11" xfId="0" applyFont="1" applyFill="1" applyBorder="1" applyAlignment="1" applyProtection="1">
      <alignment horizontal="center" vertical="center" wrapText="1"/>
    </xf>
    <xf numFmtId="0" fontId="27" fillId="6" borderId="39" xfId="0" applyFont="1" applyFill="1" applyBorder="1" applyAlignment="1" applyProtection="1">
      <alignment horizontal="center" vertical="center" wrapText="1"/>
      <protection locked="0"/>
    </xf>
    <xf numFmtId="0" fontId="28" fillId="15" borderId="27" xfId="0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28" fillId="0" borderId="76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left" vertical="center" wrapText="1"/>
    </xf>
    <xf numFmtId="0" fontId="27" fillId="0" borderId="27" xfId="0" applyFont="1" applyFill="1" applyBorder="1" applyAlignment="1" applyProtection="1">
      <alignment horizontal="left" vertical="center" wrapText="1"/>
    </xf>
    <xf numFmtId="0" fontId="27" fillId="0" borderId="26" xfId="0" applyFont="1" applyFill="1" applyBorder="1" applyAlignment="1" applyProtection="1">
      <alignment horizontal="left" vertical="center" wrapText="1"/>
    </xf>
    <xf numFmtId="0" fontId="27" fillId="6" borderId="60" xfId="0" applyFont="1" applyFill="1" applyBorder="1" applyAlignment="1" applyProtection="1">
      <alignment horizontal="center" vertical="center"/>
      <protection locked="0"/>
    </xf>
    <xf numFmtId="0" fontId="27" fillId="6" borderId="61" xfId="0" applyFont="1" applyFill="1" applyBorder="1" applyAlignment="1" applyProtection="1">
      <alignment horizontal="center" vertical="center"/>
      <protection locked="0"/>
    </xf>
    <xf numFmtId="0" fontId="27" fillId="6" borderId="76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 applyProtection="1">
      <alignment horizontal="left" vertical="center" wrapText="1"/>
    </xf>
    <xf numFmtId="0" fontId="28" fillId="15" borderId="30" xfId="0" applyFont="1" applyFill="1" applyBorder="1" applyAlignment="1" applyProtection="1">
      <alignment horizontal="center" vertical="center" wrapText="1"/>
      <protection locked="0"/>
    </xf>
    <xf numFmtId="0" fontId="28" fillId="15" borderId="16" xfId="0" applyFont="1" applyFill="1" applyBorder="1" applyAlignment="1" applyProtection="1">
      <alignment horizontal="center" vertical="center" wrapText="1"/>
      <protection locked="0"/>
    </xf>
    <xf numFmtId="0" fontId="28" fillId="15" borderId="31" xfId="0" applyFont="1" applyFill="1" applyBorder="1" applyAlignment="1" applyProtection="1">
      <alignment horizontal="center" vertical="center" wrapText="1"/>
      <protection locked="0"/>
    </xf>
    <xf numFmtId="0" fontId="28" fillId="15" borderId="78" xfId="0" applyFont="1" applyFill="1" applyBorder="1" applyAlignment="1" applyProtection="1">
      <alignment horizontal="center" vertical="center" wrapText="1"/>
      <protection locked="0"/>
    </xf>
    <xf numFmtId="0" fontId="28" fillId="15" borderId="36" xfId="0" applyFont="1" applyFill="1" applyBorder="1" applyAlignment="1" applyProtection="1">
      <alignment horizontal="center" vertical="center" wrapText="1"/>
      <protection locked="0"/>
    </xf>
    <xf numFmtId="0" fontId="28" fillId="15" borderId="8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7" fillId="0" borderId="62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46" fillId="12" borderId="4" xfId="0" applyFont="1" applyFill="1" applyBorder="1" applyAlignment="1" applyProtection="1">
      <alignment horizontal="center" vertical="center" wrapText="1"/>
    </xf>
    <xf numFmtId="0" fontId="7" fillId="7" borderId="83" xfId="0" applyFont="1" applyFill="1" applyBorder="1" applyAlignment="1" applyProtection="1">
      <alignment horizontal="left" vertical="center"/>
    </xf>
    <xf numFmtId="0" fontId="7" fillId="7" borderId="84" xfId="0" applyFont="1" applyFill="1" applyBorder="1" applyAlignment="1" applyProtection="1">
      <alignment horizontal="left" vertical="center"/>
    </xf>
    <xf numFmtId="0" fontId="7" fillId="7" borderId="85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86" xfId="0" applyFont="1" applyFill="1" applyBorder="1" applyAlignment="1" applyProtection="1">
      <alignment horizontal="left" vertical="center"/>
    </xf>
    <xf numFmtId="0" fontId="27" fillId="2" borderId="25" xfId="0" applyFont="1" applyFill="1" applyBorder="1" applyAlignment="1" applyProtection="1">
      <alignment horizontal="left" vertical="center"/>
    </xf>
    <xf numFmtId="0" fontId="27" fillId="2" borderId="48" xfId="0" applyFont="1" applyFill="1" applyBorder="1" applyAlignment="1" applyProtection="1">
      <alignment horizontal="left" vertical="center"/>
    </xf>
    <xf numFmtId="0" fontId="46" fillId="17" borderId="62" xfId="0" applyFont="1" applyFill="1" applyBorder="1" applyAlignment="1" applyProtection="1">
      <alignment horizontal="center" vertical="center" wrapText="1"/>
    </xf>
    <xf numFmtId="0" fontId="46" fillId="17" borderId="24" xfId="0" applyFont="1" applyFill="1" applyBorder="1" applyAlignment="1" applyProtection="1">
      <alignment horizontal="center" vertical="center" wrapText="1"/>
    </xf>
    <xf numFmtId="0" fontId="46" fillId="7" borderId="9" xfId="0" applyFont="1" applyFill="1" applyBorder="1" applyAlignment="1" applyProtection="1">
      <alignment horizontal="center" vertical="center"/>
    </xf>
    <xf numFmtId="0" fontId="27" fillId="6" borderId="62" xfId="0" applyFon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 applyProtection="1">
      <alignment horizontal="center" vertical="center"/>
      <protection locked="0"/>
    </xf>
    <xf numFmtId="0" fontId="27" fillId="6" borderId="24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left" vertical="center" wrapText="1"/>
    </xf>
    <xf numFmtId="0" fontId="28" fillId="15" borderId="50" xfId="0" applyFont="1" applyFill="1" applyBorder="1" applyAlignment="1" applyProtection="1">
      <alignment horizontal="center" vertical="center" wrapText="1"/>
      <protection locked="0"/>
    </xf>
    <xf numFmtId="0" fontId="31" fillId="0" borderId="78" xfId="0" applyFont="1" applyFill="1" applyBorder="1" applyAlignment="1" applyProtection="1">
      <alignment horizontal="left" vertical="center" wrapText="1"/>
    </xf>
    <xf numFmtId="0" fontId="31" fillId="0" borderId="36" xfId="0" applyFont="1" applyFill="1" applyBorder="1" applyAlignment="1" applyProtection="1">
      <alignment horizontal="left" vertical="center" wrapText="1"/>
    </xf>
    <xf numFmtId="0" fontId="31" fillId="0" borderId="82" xfId="0" applyFont="1" applyFill="1" applyBorder="1" applyAlignment="1" applyProtection="1">
      <alignment horizontal="left" vertical="center" wrapText="1"/>
    </xf>
    <xf numFmtId="0" fontId="27" fillId="2" borderId="15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2" borderId="35" xfId="0" applyFont="1" applyFill="1" applyBorder="1" applyAlignment="1" applyProtection="1">
      <alignment horizontal="center" vertical="center"/>
    </xf>
    <xf numFmtId="0" fontId="27" fillId="6" borderId="7" xfId="0" applyFont="1" applyFill="1" applyBorder="1" applyAlignment="1" applyProtection="1">
      <alignment horizontal="center" vertical="center"/>
      <protection locked="0"/>
    </xf>
    <xf numFmtId="0" fontId="27" fillId="6" borderId="6" xfId="0" applyFont="1" applyFill="1" applyBorder="1" applyAlignment="1" applyProtection="1">
      <alignment horizontal="center" vertical="center"/>
      <protection locked="0"/>
    </xf>
    <xf numFmtId="0" fontId="27" fillId="6" borderId="1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left" vertical="center" wrapText="1"/>
    </xf>
    <xf numFmtId="0" fontId="27" fillId="2" borderId="48" xfId="0" applyFont="1" applyFill="1" applyBorder="1" applyAlignment="1" applyProtection="1">
      <alignment horizontal="left" vertical="center" wrapText="1"/>
    </xf>
    <xf numFmtId="0" fontId="27" fillId="6" borderId="62" xfId="0" applyFont="1" applyFill="1" applyBorder="1" applyAlignment="1" applyProtection="1">
      <alignment horizontal="center" vertical="center" wrapText="1"/>
      <protection locked="0"/>
    </xf>
    <xf numFmtId="0" fontId="27" fillId="6" borderId="11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2" borderId="32" xfId="0" applyFont="1" applyFill="1" applyBorder="1" applyAlignment="1" applyProtection="1">
      <alignment horizontal="center" vertical="center"/>
    </xf>
    <xf numFmtId="0" fontId="27" fillId="2" borderId="90" xfId="0" applyFont="1" applyFill="1" applyBorder="1" applyAlignment="1" applyProtection="1">
      <alignment horizontal="center" vertical="center"/>
    </xf>
    <xf numFmtId="0" fontId="27" fillId="2" borderId="91" xfId="0" applyFont="1" applyFill="1" applyBorder="1" applyAlignment="1" applyProtection="1">
      <alignment horizontal="center" vertical="center"/>
    </xf>
    <xf numFmtId="0" fontId="27" fillId="2" borderId="23" xfId="0" applyFont="1" applyFill="1" applyBorder="1" applyAlignment="1" applyProtection="1">
      <alignment horizontal="left" vertical="center" wrapText="1"/>
    </xf>
    <xf numFmtId="0" fontId="29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28" fillId="2" borderId="61" xfId="0" applyFont="1" applyFill="1" applyBorder="1" applyAlignment="1" applyProtection="1">
      <alignment horizontal="left" vertical="center" wrapText="1"/>
    </xf>
    <xf numFmtId="0" fontId="28" fillId="2" borderId="62" xfId="0" applyFont="1" applyFill="1" applyBorder="1" applyAlignment="1" applyProtection="1">
      <alignment horizontal="left" vertical="center" wrapText="1"/>
    </xf>
    <xf numFmtId="0" fontId="27" fillId="14" borderId="60" xfId="0" applyFont="1" applyFill="1" applyBorder="1" applyAlignment="1" applyProtection="1">
      <alignment horizontal="center" vertical="center"/>
      <protection locked="0"/>
    </xf>
    <xf numFmtId="0" fontId="27" fillId="14" borderId="61" xfId="0" applyFont="1" applyFill="1" applyBorder="1" applyAlignment="1" applyProtection="1">
      <alignment horizontal="center" vertical="center"/>
      <protection locked="0"/>
    </xf>
    <xf numFmtId="0" fontId="27" fillId="14" borderId="76" xfId="0" applyFont="1" applyFill="1" applyBorder="1" applyAlignment="1" applyProtection="1">
      <alignment horizontal="center" vertical="center"/>
      <protection locked="0"/>
    </xf>
    <xf numFmtId="0" fontId="46" fillId="7" borderId="15" xfId="0" applyFont="1" applyFill="1" applyBorder="1" applyAlignment="1" applyProtection="1">
      <alignment horizontal="center" vertical="center" wrapText="1"/>
    </xf>
    <xf numFmtId="0" fontId="46" fillId="7" borderId="19" xfId="0" applyFont="1" applyFill="1" applyBorder="1" applyAlignment="1" applyProtection="1">
      <alignment horizontal="center" vertical="center" wrapText="1"/>
    </xf>
    <xf numFmtId="0" fontId="46" fillId="7" borderId="35" xfId="0" applyFont="1" applyFill="1" applyBorder="1" applyAlignment="1" applyProtection="1">
      <alignment horizontal="center" vertical="center" wrapText="1"/>
    </xf>
    <xf numFmtId="0" fontId="46" fillId="7" borderId="37" xfId="0" applyFont="1" applyFill="1" applyBorder="1" applyAlignment="1" applyProtection="1">
      <alignment horizontal="center" vertical="center" wrapText="1"/>
    </xf>
    <xf numFmtId="0" fontId="27" fillId="2" borderId="42" xfId="0" applyFont="1" applyFill="1" applyBorder="1" applyAlignment="1" applyProtection="1">
      <alignment horizontal="left" vertical="center" wrapText="1"/>
    </xf>
    <xf numFmtId="0" fontId="27" fillId="2" borderId="33" xfId="0" applyFont="1" applyFill="1" applyBorder="1" applyAlignment="1" applyProtection="1">
      <alignment horizontal="left" vertical="center" wrapText="1"/>
    </xf>
    <xf numFmtId="0" fontId="27" fillId="2" borderId="45" xfId="0" applyFont="1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center"/>
    </xf>
    <xf numFmtId="0" fontId="27" fillId="2" borderId="86" xfId="0" applyFont="1" applyFill="1" applyBorder="1" applyAlignment="1" applyProtection="1">
      <alignment horizontal="left" vertical="center" wrapText="1"/>
    </xf>
    <xf numFmtId="0" fontId="27" fillId="12" borderId="42" xfId="0" applyFont="1" applyFill="1" applyBorder="1" applyAlignment="1" applyProtection="1">
      <alignment horizontal="left" vertical="center" wrapText="1"/>
    </xf>
    <xf numFmtId="0" fontId="27" fillId="12" borderId="33" xfId="0" applyFont="1" applyFill="1" applyBorder="1" applyAlignment="1" applyProtection="1">
      <alignment horizontal="left" vertical="center" wrapText="1"/>
    </xf>
    <xf numFmtId="0" fontId="27" fillId="12" borderId="45" xfId="0" applyFont="1" applyFill="1" applyBorder="1" applyAlignment="1" applyProtection="1">
      <alignment horizontal="left" vertical="center" wrapText="1"/>
    </xf>
    <xf numFmtId="0" fontId="27" fillId="0" borderId="12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27" fillId="0" borderId="51" xfId="0" applyFont="1" applyFill="1" applyBorder="1" applyAlignment="1" applyProtection="1">
      <alignment horizontal="left" vertical="center"/>
    </xf>
    <xf numFmtId="0" fontId="27" fillId="0" borderId="74" xfId="0" applyFont="1" applyFill="1" applyBorder="1" applyAlignment="1" applyProtection="1">
      <alignment horizontal="left" vertical="center"/>
    </xf>
    <xf numFmtId="0" fontId="46" fillId="7" borderId="30" xfId="0" applyFont="1" applyFill="1" applyBorder="1" applyAlignment="1" applyProtection="1">
      <alignment horizontal="center" vertical="center" wrapText="1"/>
    </xf>
    <xf numFmtId="0" fontId="46" fillId="7" borderId="78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left" vertical="center"/>
    </xf>
    <xf numFmtId="0" fontId="27" fillId="6" borderId="63" xfId="0" applyFont="1" applyFill="1" applyBorder="1" applyAlignment="1" applyProtection="1">
      <alignment horizontal="center" vertical="center" wrapText="1"/>
      <protection locked="0"/>
    </xf>
    <xf numFmtId="0" fontId="27" fillId="6" borderId="58" xfId="0" applyFont="1" applyFill="1" applyBorder="1" applyAlignment="1" applyProtection="1">
      <alignment horizontal="center" vertical="center" wrapText="1"/>
      <protection locked="0"/>
    </xf>
    <xf numFmtId="0" fontId="61" fillId="2" borderId="12" xfId="0" applyFont="1" applyFill="1" applyBorder="1" applyAlignment="1" applyProtection="1">
      <alignment horizontal="left" vertical="center"/>
    </xf>
    <xf numFmtId="0" fontId="61" fillId="2" borderId="13" xfId="0" applyFont="1" applyFill="1" applyBorder="1" applyAlignment="1" applyProtection="1">
      <alignment horizontal="left" vertical="center"/>
    </xf>
    <xf numFmtId="0" fontId="46" fillId="7" borderId="87" xfId="0" applyFont="1" applyFill="1" applyBorder="1" applyAlignment="1" applyProtection="1">
      <alignment horizontal="center" vertical="center"/>
    </xf>
    <xf numFmtId="0" fontId="46" fillId="7" borderId="59" xfId="0" applyFont="1" applyFill="1" applyBorder="1" applyAlignment="1" applyProtection="1">
      <alignment horizontal="center" vertical="center"/>
    </xf>
    <xf numFmtId="0" fontId="28" fillId="2" borderId="88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89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 wrapText="1"/>
    </xf>
    <xf numFmtId="0" fontId="46" fillId="7" borderId="6" xfId="0" applyFont="1" applyFill="1" applyBorder="1" applyAlignment="1" applyProtection="1">
      <alignment horizontal="center" vertical="center" wrapText="1"/>
    </xf>
    <xf numFmtId="0" fontId="46" fillId="7" borderId="93" xfId="0" applyFont="1" applyFill="1" applyBorder="1" applyAlignment="1" applyProtection="1">
      <alignment horizontal="center" vertical="center"/>
    </xf>
    <xf numFmtId="0" fontId="46" fillId="7" borderId="53" xfId="0" applyFont="1" applyFill="1" applyBorder="1" applyAlignment="1" applyProtection="1">
      <alignment horizontal="center" vertical="center"/>
    </xf>
    <xf numFmtId="0" fontId="27" fillId="0" borderId="62" xfId="0" applyFont="1" applyFill="1" applyBorder="1" applyAlignment="1" applyProtection="1">
      <alignment horizontal="center"/>
    </xf>
    <xf numFmtId="0" fontId="27" fillId="0" borderId="11" xfId="0" applyFont="1" applyFill="1" applyBorder="1" applyAlignment="1" applyProtection="1">
      <alignment horizontal="center"/>
    </xf>
    <xf numFmtId="0" fontId="27" fillId="2" borderId="12" xfId="0" applyFont="1" applyFill="1" applyBorder="1" applyAlignment="1" applyProtection="1">
      <alignment horizontal="left" vertical="center" wrapText="1"/>
    </xf>
    <xf numFmtId="0" fontId="28" fillId="2" borderId="79" xfId="0" applyFont="1" applyFill="1" applyBorder="1" applyAlignment="1" applyProtection="1">
      <alignment horizontal="center" vertical="center" wrapText="1"/>
    </xf>
    <xf numFmtId="0" fontId="28" fillId="2" borderId="94" xfId="0" applyFont="1" applyFill="1" applyBorder="1" applyAlignment="1" applyProtection="1">
      <alignment horizontal="center" vertical="center" wrapText="1"/>
    </xf>
    <xf numFmtId="0" fontId="28" fillId="2" borderId="66" xfId="0" applyFont="1" applyFill="1" applyBorder="1" applyAlignment="1" applyProtection="1">
      <alignment horizontal="center" vertical="center" wrapText="1"/>
    </xf>
    <xf numFmtId="0" fontId="60" fillId="2" borderId="12" xfId="0" applyFont="1" applyFill="1" applyBorder="1" applyAlignment="1" applyProtection="1">
      <alignment horizontal="left" vertical="center"/>
    </xf>
    <xf numFmtId="0" fontId="60" fillId="2" borderId="13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</xf>
    <xf numFmtId="0" fontId="46" fillId="7" borderId="12" xfId="0" applyFont="1" applyFill="1" applyBorder="1" applyAlignment="1" applyProtection="1">
      <alignment horizontal="left" vertical="center" wrapText="1"/>
    </xf>
    <xf numFmtId="0" fontId="46" fillId="7" borderId="27" xfId="0" applyFont="1" applyFill="1" applyBorder="1" applyAlignment="1" applyProtection="1">
      <alignment horizontal="left" vertical="center" wrapText="1"/>
    </xf>
    <xf numFmtId="0" fontId="46" fillId="7" borderId="13" xfId="0" applyFont="1" applyFill="1" applyBorder="1" applyAlignment="1" applyProtection="1">
      <alignment horizontal="left" vertical="center" wrapText="1"/>
    </xf>
    <xf numFmtId="0" fontId="46" fillId="7" borderId="88" xfId="0" applyFont="1" applyFill="1" applyBorder="1" applyAlignment="1" applyProtection="1">
      <alignment horizontal="center" vertical="center" wrapText="1"/>
    </xf>
    <xf numFmtId="0" fontId="46" fillId="7" borderId="1" xfId="0" applyFont="1" applyFill="1" applyBorder="1" applyAlignment="1" applyProtection="1">
      <alignment horizontal="center" vertical="center" wrapText="1"/>
    </xf>
    <xf numFmtId="0" fontId="46" fillId="7" borderId="103" xfId="0" applyFont="1" applyFill="1" applyBorder="1" applyAlignment="1" applyProtection="1">
      <alignment horizontal="center" vertical="center" wrapText="1"/>
    </xf>
    <xf numFmtId="0" fontId="46" fillId="12" borderId="45" xfId="0" applyFont="1" applyFill="1" applyBorder="1" applyAlignment="1" applyProtection="1">
      <alignment horizontal="center" vertical="center"/>
    </xf>
    <xf numFmtId="0" fontId="46" fillId="12" borderId="48" xfId="0" applyFont="1" applyFill="1" applyBorder="1" applyAlignment="1" applyProtection="1">
      <alignment horizontal="center" vertical="center"/>
    </xf>
    <xf numFmtId="0" fontId="28" fillId="2" borderId="93" xfId="0" applyFont="1" applyFill="1" applyBorder="1" applyAlignment="1" applyProtection="1">
      <alignment horizontal="center" vertical="center" wrapText="1"/>
    </xf>
    <xf numFmtId="0" fontId="28" fillId="2" borderId="53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27" fillId="2" borderId="88" xfId="0" applyFont="1" applyFill="1" applyBorder="1" applyAlignment="1" applyProtection="1">
      <alignment horizontal="left" vertical="center"/>
    </xf>
    <xf numFmtId="0" fontId="27" fillId="2" borderId="1" xfId="0" applyFont="1" applyFill="1" applyBorder="1" applyAlignment="1" applyProtection="1">
      <alignment horizontal="left" vertical="center"/>
    </xf>
    <xf numFmtId="0" fontId="28" fillId="15" borderId="92" xfId="0" applyFont="1" applyFill="1" applyBorder="1" applyAlignment="1" applyProtection="1">
      <alignment horizontal="center" vertical="center" wrapText="1"/>
    </xf>
    <xf numFmtId="0" fontId="28" fillId="15" borderId="46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46" fillId="7" borderId="12" xfId="0" applyFont="1" applyFill="1" applyBorder="1" applyAlignment="1" applyProtection="1">
      <alignment horizontal="center" vertical="center"/>
    </xf>
    <xf numFmtId="0" fontId="46" fillId="7" borderId="13" xfId="0" applyFont="1" applyFill="1" applyBorder="1" applyAlignment="1" applyProtection="1">
      <alignment horizontal="center" vertical="center"/>
    </xf>
    <xf numFmtId="0" fontId="60" fillId="2" borderId="6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/>
    </xf>
    <xf numFmtId="0" fontId="60" fillId="2" borderId="12" xfId="0" applyFont="1" applyFill="1" applyBorder="1" applyAlignment="1" applyProtection="1">
      <alignment horizontal="left" vertical="center" wrapText="1"/>
    </xf>
    <xf numFmtId="0" fontId="60" fillId="2" borderId="13" xfId="0" applyFont="1" applyFill="1" applyBorder="1" applyAlignment="1" applyProtection="1">
      <alignment horizontal="left" vertical="center" wrapText="1"/>
    </xf>
    <xf numFmtId="0" fontId="27" fillId="6" borderId="5" xfId="0" applyFont="1" applyFill="1" applyBorder="1" applyAlignment="1" applyProtection="1">
      <alignment horizontal="center" vertical="center"/>
      <protection locked="0"/>
    </xf>
    <xf numFmtId="0" fontId="27" fillId="6" borderId="51" xfId="0" applyFont="1" applyFill="1" applyBorder="1" applyAlignment="1" applyProtection="1">
      <alignment horizontal="center" vertical="center"/>
      <protection locked="0"/>
    </xf>
    <xf numFmtId="0" fontId="27" fillId="6" borderId="52" xfId="0" applyFont="1" applyFill="1" applyBorder="1" applyAlignment="1" applyProtection="1">
      <alignment horizontal="center" vertical="center"/>
      <protection locked="0"/>
    </xf>
    <xf numFmtId="0" fontId="28" fillId="6" borderId="60" xfId="0" applyFont="1" applyFill="1" applyBorder="1" applyAlignment="1" applyProtection="1">
      <alignment horizontal="center" vertical="center" wrapText="1"/>
      <protection locked="0"/>
    </xf>
    <xf numFmtId="0" fontId="28" fillId="6" borderId="61" xfId="0" applyFont="1" applyFill="1" applyBorder="1" applyAlignment="1" applyProtection="1">
      <alignment horizontal="center" vertical="center" wrapText="1"/>
      <protection locked="0"/>
    </xf>
    <xf numFmtId="0" fontId="28" fillId="6" borderId="76" xfId="0" applyFont="1" applyFill="1" applyBorder="1" applyAlignment="1" applyProtection="1">
      <alignment horizontal="center" vertical="center" wrapText="1"/>
      <protection locked="0"/>
    </xf>
    <xf numFmtId="0" fontId="28" fillId="6" borderId="7" xfId="0" applyFont="1" applyFill="1" applyBorder="1" applyAlignment="1" applyProtection="1">
      <alignment horizontal="center" vertical="center" wrapText="1"/>
      <protection locked="0"/>
    </xf>
    <xf numFmtId="0" fontId="28" fillId="6" borderId="6" xfId="0" applyFont="1" applyFill="1" applyBorder="1" applyAlignment="1" applyProtection="1">
      <alignment horizontal="center" vertical="center" wrapText="1"/>
      <protection locked="0"/>
    </xf>
    <xf numFmtId="0" fontId="28" fillId="6" borderId="18" xfId="0" applyFont="1" applyFill="1" applyBorder="1" applyAlignment="1" applyProtection="1">
      <alignment horizontal="center" vertical="center" wrapText="1"/>
      <protection locked="0"/>
    </xf>
    <xf numFmtId="0" fontId="28" fillId="6" borderId="95" xfId="0" applyFont="1" applyFill="1" applyBorder="1" applyAlignment="1" applyProtection="1">
      <alignment horizontal="center" vertical="center" wrapText="1"/>
      <protection locked="0"/>
    </xf>
    <xf numFmtId="0" fontId="28" fillId="6" borderId="56" xfId="0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27" fillId="6" borderId="51" xfId="0" applyFont="1" applyFill="1" applyBorder="1" applyAlignment="1" applyProtection="1">
      <alignment horizontal="center" vertical="center" wrapText="1"/>
      <protection locked="0"/>
    </xf>
    <xf numFmtId="0" fontId="27" fillId="6" borderId="74" xfId="0" applyFont="1" applyFill="1" applyBorder="1" applyAlignment="1" applyProtection="1">
      <alignment horizontal="center" vertical="center" wrapText="1"/>
      <protection locked="0"/>
    </xf>
    <xf numFmtId="14" fontId="27" fillId="6" borderId="54" xfId="0" applyNumberFormat="1" applyFont="1" applyFill="1" applyBorder="1" applyAlignment="1" applyProtection="1">
      <alignment horizontal="center" vertical="center"/>
      <protection locked="0"/>
    </xf>
    <xf numFmtId="0" fontId="28" fillId="0" borderId="6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96" xfId="0" applyFont="1" applyFill="1" applyBorder="1" applyAlignment="1" applyProtection="1">
      <alignment horizontal="center" vertical="center" wrapText="1"/>
    </xf>
    <xf numFmtId="0" fontId="28" fillId="0" borderId="55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left" vertical="center" wrapText="1"/>
    </xf>
    <xf numFmtId="0" fontId="28" fillId="0" borderId="97" xfId="0" applyFont="1" applyFill="1" applyBorder="1" applyAlignment="1" applyProtection="1">
      <alignment horizontal="center" vertical="center" wrapText="1"/>
    </xf>
    <xf numFmtId="0" fontId="28" fillId="0" borderId="63" xfId="0" applyFont="1" applyFill="1" applyBorder="1" applyAlignment="1" applyProtection="1">
      <alignment horizontal="left" vertical="center"/>
    </xf>
    <xf numFmtId="0" fontId="28" fillId="6" borderId="22" xfId="0" applyFont="1" applyFill="1" applyBorder="1" applyAlignment="1" applyProtection="1">
      <alignment horizontal="center" vertical="center" wrapText="1"/>
      <protection locked="0"/>
    </xf>
    <xf numFmtId="0" fontId="28" fillId="6" borderId="23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39" xfId="0" applyFont="1" applyFill="1" applyBorder="1" applyAlignment="1" applyProtection="1">
      <alignment horizontal="center" vertical="center" wrapText="1"/>
      <protection locked="0"/>
    </xf>
    <xf numFmtId="0" fontId="28" fillId="6" borderId="27" xfId="0" applyFont="1" applyFill="1" applyBorder="1" applyAlignment="1" applyProtection="1">
      <alignment horizontal="center" vertical="center" wrapText="1"/>
      <protection locked="0"/>
    </xf>
    <xf numFmtId="0" fontId="28" fillId="6" borderId="26" xfId="0" applyFont="1" applyFill="1" applyBorder="1" applyAlignment="1" applyProtection="1">
      <alignment horizontal="center" vertical="center" wrapText="1"/>
      <protection locked="0"/>
    </xf>
    <xf numFmtId="0" fontId="28" fillId="6" borderId="77" xfId="0" applyFont="1" applyFill="1" applyBorder="1" applyAlignment="1" applyProtection="1">
      <alignment horizontal="center" vertical="center" wrapText="1"/>
      <protection locked="0"/>
    </xf>
    <xf numFmtId="0" fontId="28" fillId="6" borderId="64" xfId="0" applyFont="1" applyFill="1" applyBorder="1" applyAlignment="1" applyProtection="1">
      <alignment horizontal="center" vertical="center" wrapText="1"/>
      <protection locked="0"/>
    </xf>
    <xf numFmtId="0" fontId="28" fillId="6" borderId="7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</xf>
    <xf numFmtId="0" fontId="28" fillId="0" borderId="63" xfId="0" applyFont="1" applyFill="1" applyBorder="1" applyAlignment="1" applyProtection="1">
      <alignment horizontal="left" vertical="center" wrapText="1"/>
    </xf>
    <xf numFmtId="0" fontId="28" fillId="0" borderId="62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6" borderId="63" xfId="0" applyFont="1" applyFill="1" applyBorder="1" applyAlignment="1" applyProtection="1">
      <alignment horizontal="center" vertical="center" wrapText="1"/>
      <protection locked="0"/>
    </xf>
    <xf numFmtId="0" fontId="28" fillId="6" borderId="58" xfId="0" applyFont="1" applyFill="1" applyBorder="1" applyAlignment="1" applyProtection="1">
      <alignment horizontal="center" vertical="center" wrapText="1"/>
      <protection locked="0"/>
    </xf>
    <xf numFmtId="0" fontId="28" fillId="6" borderId="9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63" xfId="0" applyFont="1" applyFill="1" applyBorder="1" applyAlignment="1" applyProtection="1">
      <alignment horizontal="left" vertical="center"/>
    </xf>
    <xf numFmtId="0" fontId="27" fillId="6" borderId="60" xfId="0" applyFont="1" applyFill="1" applyBorder="1" applyAlignment="1" applyProtection="1">
      <alignment horizontal="center" vertical="center" wrapText="1"/>
      <protection locked="0"/>
    </xf>
    <xf numFmtId="0" fontId="27" fillId="6" borderId="61" xfId="0" applyFont="1" applyFill="1" applyBorder="1" applyAlignment="1" applyProtection="1">
      <alignment horizontal="center" vertical="center" wrapText="1"/>
      <protection locked="0"/>
    </xf>
    <xf numFmtId="0" fontId="27" fillId="6" borderId="76" xfId="0" applyFont="1" applyFill="1" applyBorder="1" applyAlignment="1" applyProtection="1">
      <alignment horizontal="center" vertical="center" wrapText="1"/>
      <protection locked="0"/>
    </xf>
    <xf numFmtId="0" fontId="27" fillId="6" borderId="7" xfId="0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18" xfId="0" applyFont="1" applyFill="1" applyBorder="1" applyAlignment="1" applyProtection="1">
      <alignment horizontal="center" vertical="center" wrapText="1"/>
      <protection locked="0"/>
    </xf>
    <xf numFmtId="0" fontId="68" fillId="6" borderId="7" xfId="2" applyFont="1" applyFill="1" applyBorder="1" applyAlignment="1" applyProtection="1">
      <alignment horizontal="center" vertical="center" wrapText="1"/>
      <protection locked="0"/>
    </xf>
    <xf numFmtId="0" fontId="31" fillId="0" borderId="61" xfId="0" applyFont="1" applyFill="1" applyBorder="1" applyAlignment="1" applyProtection="1">
      <alignment horizontal="left" vertical="center" wrapText="1"/>
    </xf>
    <xf numFmtId="0" fontId="32" fillId="0" borderId="61" xfId="0" applyFont="1" applyFill="1" applyBorder="1" applyAlignment="1" applyProtection="1">
      <alignment vertical="center"/>
    </xf>
    <xf numFmtId="0" fontId="32" fillId="0" borderId="62" xfId="0" applyFont="1" applyFill="1" applyBorder="1" applyAlignment="1" applyProtection="1">
      <alignment vertical="center"/>
    </xf>
    <xf numFmtId="14" fontId="27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78" xfId="0" applyFont="1" applyFill="1" applyBorder="1" applyAlignment="1" applyProtection="1">
      <alignment horizontal="left" vertical="center"/>
    </xf>
    <xf numFmtId="0" fontId="28" fillId="2" borderId="36" xfId="0" applyFont="1" applyFill="1" applyBorder="1" applyAlignment="1" applyProtection="1">
      <alignment horizontal="left" vertical="center"/>
    </xf>
    <xf numFmtId="0" fontId="27" fillId="0" borderId="44" xfId="0" applyFont="1" applyFill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43" xfId="0" applyFont="1" applyFill="1" applyBorder="1" applyAlignment="1" applyProtection="1">
      <alignment horizontal="left" vertical="center" wrapText="1"/>
    </xf>
    <xf numFmtId="0" fontId="27" fillId="0" borderId="78" xfId="0" applyFont="1" applyFill="1" applyBorder="1" applyAlignment="1" applyProtection="1">
      <alignment horizontal="left" vertical="center" wrapText="1"/>
    </xf>
    <xf numFmtId="0" fontId="27" fillId="0" borderId="36" xfId="0" applyFont="1" applyFill="1" applyBorder="1" applyAlignment="1" applyProtection="1">
      <alignment horizontal="left" vertical="center" wrapText="1"/>
    </xf>
    <xf numFmtId="0" fontId="27" fillId="0" borderId="37" xfId="0" applyFont="1" applyFill="1" applyBorder="1" applyAlignment="1" applyProtection="1">
      <alignment horizontal="left" vertical="center" wrapText="1"/>
    </xf>
    <xf numFmtId="0" fontId="28" fillId="0" borderId="77" xfId="0" applyFont="1" applyFill="1" applyBorder="1" applyAlignment="1" applyProtection="1">
      <alignment horizontal="left" vertical="center" wrapText="1"/>
    </xf>
    <xf numFmtId="0" fontId="28" fillId="0" borderId="64" xfId="0" applyFont="1" applyFill="1" applyBorder="1" applyAlignment="1" applyProtection="1">
      <alignment horizontal="left" vertical="center" wrapText="1"/>
    </xf>
    <xf numFmtId="0" fontId="28" fillId="0" borderId="75" xfId="0" applyFont="1" applyFill="1" applyBorder="1" applyAlignment="1" applyProtection="1">
      <alignment horizontal="left" vertical="center" wrapText="1"/>
    </xf>
    <xf numFmtId="0" fontId="27" fillId="6" borderId="77" xfId="0" applyFont="1" applyFill="1" applyBorder="1" applyAlignment="1" applyProtection="1">
      <alignment horizontal="center" vertical="center"/>
      <protection locked="0"/>
    </xf>
    <xf numFmtId="0" fontId="27" fillId="6" borderId="64" xfId="0" applyFont="1" applyFill="1" applyBorder="1" applyAlignment="1" applyProtection="1">
      <alignment horizontal="center" vertical="center"/>
      <protection locked="0"/>
    </xf>
    <xf numFmtId="0" fontId="27" fillId="6" borderId="75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left" vertical="center" wrapText="1"/>
    </xf>
    <xf numFmtId="0" fontId="28" fillId="0" borderId="27" xfId="0" applyFont="1" applyFill="1" applyBorder="1" applyAlignment="1" applyProtection="1">
      <alignment horizontal="left" vertical="center" wrapText="1"/>
    </xf>
    <xf numFmtId="0" fontId="28" fillId="0" borderId="26" xfId="0" applyFont="1" applyFill="1" applyBorder="1" applyAlignment="1" applyProtection="1">
      <alignment horizontal="left" vertical="center" wrapText="1"/>
    </xf>
    <xf numFmtId="0" fontId="27" fillId="6" borderId="39" xfId="0" applyFont="1" applyFill="1" applyBorder="1" applyAlignment="1" applyProtection="1">
      <alignment horizontal="center" vertical="center"/>
      <protection locked="0"/>
    </xf>
    <xf numFmtId="0" fontId="27" fillId="6" borderId="27" xfId="0" applyFont="1" applyFill="1" applyBorder="1" applyAlignment="1" applyProtection="1">
      <alignment horizontal="center" vertical="center"/>
      <protection locked="0"/>
    </xf>
    <xf numFmtId="0" fontId="27" fillId="6" borderId="26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27" fillId="6" borderId="12" xfId="0" applyFont="1" applyFill="1" applyBorder="1" applyAlignment="1" applyProtection="1">
      <alignment horizontal="center" vertical="center"/>
      <protection locked="0"/>
    </xf>
    <xf numFmtId="0" fontId="27" fillId="6" borderId="63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left" vertical="center" wrapText="1"/>
    </xf>
    <xf numFmtId="0" fontId="28" fillId="0" borderId="34" xfId="0" applyFont="1" applyFill="1" applyBorder="1" applyAlignment="1" applyProtection="1">
      <alignment horizontal="left" vertical="center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7" fillId="6" borderId="40" xfId="0" applyFont="1" applyFill="1" applyBorder="1" applyAlignment="1" applyProtection="1">
      <alignment horizontal="center" vertical="center"/>
      <protection locked="0"/>
    </xf>
    <xf numFmtId="0" fontId="27" fillId="6" borderId="34" xfId="0" applyFont="1" applyFill="1" applyBorder="1" applyAlignment="1" applyProtection="1">
      <alignment horizontal="center" vertical="center"/>
      <protection locked="0"/>
    </xf>
    <xf numFmtId="0" fontId="27" fillId="6" borderId="41" xfId="0" applyFont="1" applyFill="1" applyBorder="1" applyAlignment="1" applyProtection="1">
      <alignment horizontal="center" vertical="center"/>
      <protection locked="0"/>
    </xf>
    <xf numFmtId="0" fontId="27" fillId="6" borderId="64" xfId="0" applyFont="1" applyFill="1" applyBorder="1" applyAlignment="1" applyProtection="1">
      <alignment horizontal="center" vertical="center" wrapText="1"/>
      <protection locked="0"/>
    </xf>
    <xf numFmtId="0" fontId="27" fillId="2" borderId="81" xfId="0" applyFon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center" vertical="center"/>
    </xf>
    <xf numFmtId="0" fontId="27" fillId="2" borderId="4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left" vertical="center" wrapText="1"/>
    </xf>
    <xf numFmtId="0" fontId="36" fillId="2" borderId="0" xfId="0" applyFont="1" applyFill="1" applyBorder="1" applyAlignment="1" applyProtection="1">
      <alignment horizontal="left" vertical="center" wrapText="1"/>
    </xf>
    <xf numFmtId="0" fontId="46" fillId="7" borderId="54" xfId="0" applyFont="1" applyFill="1" applyBorder="1" applyAlignment="1" applyProtection="1">
      <alignment horizontal="center" vertical="center" wrapText="1"/>
    </xf>
    <xf numFmtId="0" fontId="46" fillId="7" borderId="74" xfId="0" applyFont="1" applyFill="1" applyBorder="1" applyAlignment="1" applyProtection="1">
      <alignment horizontal="center" vertical="center" wrapText="1"/>
    </xf>
    <xf numFmtId="0" fontId="28" fillId="2" borderId="92" xfId="0" applyFont="1" applyFill="1" applyBorder="1" applyAlignment="1" applyProtection="1">
      <alignment horizontal="center" vertical="center" wrapText="1"/>
    </xf>
    <xf numFmtId="0" fontId="28" fillId="2" borderId="46" xfId="0" applyFont="1" applyFill="1" applyBorder="1" applyAlignment="1" applyProtection="1">
      <alignment horizontal="center" vertical="center" wrapText="1"/>
    </xf>
    <xf numFmtId="0" fontId="28" fillId="2" borderId="65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3" xfId="0" applyFont="1" applyFill="1" applyBorder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left" vertical="center"/>
    </xf>
    <xf numFmtId="0" fontId="46" fillId="7" borderId="27" xfId="0" applyFont="1" applyFill="1" applyBorder="1" applyAlignment="1" applyProtection="1">
      <alignment horizontal="center" vertical="center"/>
    </xf>
    <xf numFmtId="0" fontId="27" fillId="2" borderId="44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28" fillId="2" borderId="27" xfId="0" applyFont="1" applyFill="1" applyBorder="1" applyAlignment="1" applyProtection="1">
      <alignment horizontal="left" vertical="center" wrapText="1"/>
    </xf>
    <xf numFmtId="0" fontId="28" fillId="2" borderId="13" xfId="0" applyFont="1" applyFill="1" applyBorder="1" applyAlignment="1" applyProtection="1">
      <alignment horizontal="left" vertical="center" wrapText="1"/>
    </xf>
    <xf numFmtId="0" fontId="46" fillId="7" borderId="99" xfId="0" applyFont="1" applyFill="1" applyBorder="1" applyAlignment="1" applyProtection="1">
      <alignment horizontal="center" vertical="center"/>
    </xf>
    <xf numFmtId="0" fontId="46" fillId="7" borderId="100" xfId="0" applyFont="1" applyFill="1" applyBorder="1" applyAlignment="1" applyProtection="1">
      <alignment horizontal="center" vertical="center"/>
    </xf>
    <xf numFmtId="167" fontId="27" fillId="2" borderId="79" xfId="0" applyNumberFormat="1" applyFont="1" applyFill="1" applyBorder="1" applyAlignment="1" applyProtection="1">
      <alignment horizontal="center" vertical="center" wrapText="1"/>
    </xf>
    <xf numFmtId="167" fontId="27" fillId="2" borderId="80" xfId="0" applyNumberFormat="1" applyFont="1" applyFill="1" applyBorder="1" applyAlignment="1" applyProtection="1">
      <alignment horizontal="center" vertical="center" wrapText="1"/>
    </xf>
    <xf numFmtId="0" fontId="46" fillId="7" borderId="44" xfId="0" applyFont="1" applyFill="1" applyBorder="1" applyAlignment="1" applyProtection="1">
      <alignment horizontal="center" vertical="center" wrapText="1"/>
    </xf>
    <xf numFmtId="0" fontId="46" fillId="7" borderId="33" xfId="0" applyFont="1" applyFill="1" applyBorder="1" applyAlignment="1" applyProtection="1">
      <alignment horizontal="center" vertical="center" wrapText="1"/>
    </xf>
    <xf numFmtId="0" fontId="46" fillId="7" borderId="45" xfId="0" applyFont="1" applyFill="1" applyBorder="1" applyAlignment="1" applyProtection="1">
      <alignment horizontal="center" vertical="center" wrapText="1"/>
    </xf>
    <xf numFmtId="0" fontId="46" fillId="7" borderId="47" xfId="0" applyFont="1" applyFill="1" applyBorder="1" applyAlignment="1" applyProtection="1">
      <alignment horizontal="center" vertical="center" wrapText="1"/>
    </xf>
    <xf numFmtId="0" fontId="46" fillId="7" borderId="25" xfId="0" applyFont="1" applyFill="1" applyBorder="1" applyAlignment="1" applyProtection="1">
      <alignment horizontal="center" vertical="center" wrapText="1"/>
    </xf>
    <xf numFmtId="0" fontId="46" fillId="7" borderId="48" xfId="0" applyFont="1" applyFill="1" applyBorder="1" applyAlignment="1" applyProtection="1">
      <alignment horizontal="center" vertical="center" wrapText="1"/>
    </xf>
    <xf numFmtId="0" fontId="46" fillId="7" borderId="12" xfId="0" applyFont="1" applyFill="1" applyBorder="1" applyAlignment="1" applyProtection="1">
      <alignment horizontal="center" vertical="center" wrapText="1"/>
    </xf>
    <xf numFmtId="0" fontId="46" fillId="7" borderId="27" xfId="0" applyFont="1" applyFill="1" applyBorder="1" applyAlignment="1" applyProtection="1">
      <alignment horizontal="center" vertical="center" wrapText="1"/>
    </xf>
    <xf numFmtId="0" fontId="46" fillId="7" borderId="13" xfId="0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 applyProtection="1">
      <alignment horizontal="left" vertical="center"/>
    </xf>
    <xf numFmtId="0" fontId="27" fillId="2" borderId="27" xfId="0" applyFont="1" applyFill="1" applyBorder="1" applyAlignment="1" applyProtection="1">
      <alignment horizontal="left" vertical="center"/>
    </xf>
    <xf numFmtId="0" fontId="27" fillId="2" borderId="13" xfId="0" applyFont="1" applyFill="1" applyBorder="1" applyAlignment="1" applyProtection="1">
      <alignment horizontal="left" vertical="center"/>
    </xf>
    <xf numFmtId="167" fontId="27" fillId="2" borderId="101" xfId="0" applyNumberFormat="1" applyFont="1" applyFill="1" applyBorder="1" applyAlignment="1" applyProtection="1">
      <alignment horizontal="center" vertical="center" wrapText="1"/>
    </xf>
    <xf numFmtId="167" fontId="27" fillId="2" borderId="102" xfId="0" applyNumberFormat="1" applyFont="1" applyFill="1" applyBorder="1" applyAlignment="1" applyProtection="1">
      <alignment horizontal="center" vertical="center" wrapText="1"/>
    </xf>
    <xf numFmtId="0" fontId="30" fillId="0" borderId="62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2" fillId="6" borderId="61" xfId="0" applyFont="1" applyFill="1" applyBorder="1" applyAlignment="1" applyProtection="1">
      <alignment horizontal="left" vertical="center"/>
      <protection locked="0"/>
    </xf>
    <xf numFmtId="0" fontId="32" fillId="6" borderId="76" xfId="0" applyFont="1" applyFill="1" applyBorder="1" applyAlignment="1" applyProtection="1">
      <alignment horizontal="left" vertical="center"/>
      <protection locked="0"/>
    </xf>
    <xf numFmtId="0" fontId="32" fillId="6" borderId="20" xfId="0" applyFont="1" applyFill="1" applyBorder="1" applyAlignment="1" applyProtection="1">
      <alignment horizontal="left" vertical="center"/>
      <protection locked="0"/>
    </xf>
    <xf numFmtId="0" fontId="32" fillId="6" borderId="21" xfId="0" applyFont="1" applyFill="1" applyBorder="1" applyAlignment="1" applyProtection="1">
      <alignment horizontal="left" vertical="center"/>
      <protection locked="0"/>
    </xf>
    <xf numFmtId="0" fontId="27" fillId="2" borderId="77" xfId="0" applyFont="1" applyFill="1" applyBorder="1" applyAlignment="1" applyProtection="1">
      <alignment horizontal="left" vertical="center" wrapText="1"/>
    </xf>
    <xf numFmtId="0" fontId="27" fillId="2" borderId="64" xfId="0" applyFont="1" applyFill="1" applyBorder="1" applyAlignment="1" applyProtection="1">
      <alignment horizontal="left" vertical="center" wrapText="1"/>
    </xf>
    <xf numFmtId="0" fontId="27" fillId="2" borderId="58" xfId="0" applyFont="1" applyFill="1" applyBorder="1" applyAlignment="1" applyProtection="1">
      <alignment horizontal="left" vertical="center" wrapText="1"/>
    </xf>
    <xf numFmtId="0" fontId="46" fillId="7" borderId="6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left" vertical="center" wrapText="1"/>
    </xf>
    <xf numFmtId="0" fontId="27" fillId="5" borderId="7" xfId="0" applyFont="1" applyFill="1" applyBorder="1" applyAlignment="1" applyProtection="1">
      <alignment horizontal="center" vertical="center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18" xfId="0" applyFont="1" applyFill="1" applyBorder="1" applyAlignment="1" applyProtection="1">
      <alignment horizontal="center" vertical="center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27" fillId="6" borderId="20" xfId="0" applyFont="1" applyFill="1" applyBorder="1" applyAlignment="1" applyProtection="1">
      <alignment horizontal="center" vertical="center"/>
      <protection locked="0"/>
    </xf>
    <xf numFmtId="0" fontId="27" fillId="6" borderId="21" xfId="0" applyFont="1" applyFill="1" applyBorder="1" applyAlignment="1" applyProtection="1">
      <alignment horizontal="center" vertical="center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6" xfId="0" applyFont="1" applyFill="1" applyBorder="1" applyAlignment="1" applyProtection="1">
      <alignment horizontal="center" vertical="center"/>
      <protection locked="0"/>
    </xf>
    <xf numFmtId="0" fontId="27" fillId="14" borderId="18" xfId="0" applyFont="1" applyFill="1" applyBorder="1" applyAlignment="1" applyProtection="1">
      <alignment horizontal="center" vertical="center"/>
      <protection locked="0"/>
    </xf>
    <xf numFmtId="0" fontId="32" fillId="6" borderId="6" xfId="0" applyFont="1" applyFill="1" applyBorder="1" applyAlignment="1" applyProtection="1">
      <alignment horizontal="left" vertical="center"/>
      <protection locked="0"/>
    </xf>
    <xf numFmtId="0" fontId="32" fillId="6" borderId="18" xfId="0" applyFont="1" applyFill="1" applyBorder="1" applyAlignment="1" applyProtection="1">
      <alignment horizontal="left" vertical="center"/>
      <protection locked="0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165" fontId="28" fillId="2" borderId="0" xfId="0" applyNumberFormat="1" applyFont="1" applyFill="1" applyBorder="1" applyAlignment="1" applyProtection="1">
      <alignment horizontal="left" vertical="center" wrapText="1"/>
    </xf>
    <xf numFmtId="0" fontId="27" fillId="21" borderId="12" xfId="0" applyFont="1" applyFill="1" applyBorder="1" applyAlignment="1" applyProtection="1">
      <alignment horizontal="left" vertical="center" wrapText="1"/>
    </xf>
    <xf numFmtId="0" fontId="27" fillId="21" borderId="27" xfId="0" applyFont="1" applyFill="1" applyBorder="1" applyAlignment="1" applyProtection="1">
      <alignment horizontal="left" vertical="center" wrapText="1"/>
    </xf>
    <xf numFmtId="0" fontId="27" fillId="21" borderId="26" xfId="0" applyFont="1" applyFill="1" applyBorder="1" applyAlignment="1" applyProtection="1">
      <alignment horizontal="left" vertical="center" wrapText="1"/>
    </xf>
    <xf numFmtId="3" fontId="27" fillId="2" borderId="12" xfId="0" applyNumberFormat="1" applyFont="1" applyFill="1" applyBorder="1" applyAlignment="1" applyProtection="1">
      <alignment horizontal="center" vertical="center" wrapText="1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27" fillId="14" borderId="12" xfId="0" applyFont="1" applyFill="1" applyBorder="1" applyAlignment="1" applyProtection="1">
      <alignment horizontal="left" vertical="center" wrapText="1"/>
    </xf>
    <xf numFmtId="0" fontId="27" fillId="14" borderId="27" xfId="0" applyFont="1" applyFill="1" applyBorder="1" applyAlignment="1" applyProtection="1">
      <alignment horizontal="left" vertical="center" wrapText="1"/>
    </xf>
    <xf numFmtId="0" fontId="27" fillId="14" borderId="26" xfId="0" applyFont="1" applyFill="1" applyBorder="1" applyAlignment="1" applyProtection="1">
      <alignment horizontal="left" vertical="center" wrapText="1"/>
    </xf>
    <xf numFmtId="0" fontId="27" fillId="14" borderId="63" xfId="0" applyFont="1" applyFill="1" applyBorder="1" applyAlignment="1" applyProtection="1">
      <alignment horizontal="left" vertical="center" wrapText="1"/>
    </xf>
    <xf numFmtId="0" fontId="27" fillId="14" borderId="64" xfId="0" applyFont="1" applyFill="1" applyBorder="1" applyAlignment="1" applyProtection="1">
      <alignment horizontal="left" vertical="center" wrapText="1"/>
    </xf>
    <xf numFmtId="0" fontId="27" fillId="14" borderId="75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16" borderId="12" xfId="0" applyFont="1" applyFill="1" applyBorder="1" applyAlignment="1" applyProtection="1">
      <alignment horizontal="left" vertical="center" wrapText="1"/>
    </xf>
    <xf numFmtId="0" fontId="27" fillId="16" borderId="27" xfId="0" applyFont="1" applyFill="1" applyBorder="1" applyAlignment="1" applyProtection="1">
      <alignment horizontal="left" vertical="center" wrapText="1"/>
    </xf>
    <xf numFmtId="0" fontId="27" fillId="16" borderId="26" xfId="0" applyFont="1" applyFill="1" applyBorder="1" applyAlignment="1" applyProtection="1">
      <alignment horizontal="left" vertical="center" wrapText="1"/>
    </xf>
    <xf numFmtId="165" fontId="27" fillId="21" borderId="12" xfId="0" applyNumberFormat="1" applyFont="1" applyFill="1" applyBorder="1" applyAlignment="1" applyProtection="1">
      <alignment horizontal="left" vertical="center" wrapText="1"/>
    </xf>
    <xf numFmtId="165" fontId="27" fillId="21" borderId="27" xfId="0" applyNumberFormat="1" applyFont="1" applyFill="1" applyBorder="1" applyAlignment="1" applyProtection="1">
      <alignment horizontal="left" vertical="center" wrapText="1"/>
    </xf>
    <xf numFmtId="165" fontId="27" fillId="21" borderId="26" xfId="0" applyNumberFormat="1" applyFont="1" applyFill="1" applyBorder="1" applyAlignment="1" applyProtection="1">
      <alignment horizontal="left" vertical="center" wrapText="1"/>
    </xf>
    <xf numFmtId="0" fontId="46" fillId="7" borderId="62" xfId="0" applyFont="1" applyFill="1" applyBorder="1" applyAlignment="1" applyProtection="1">
      <alignment horizontal="center" vertical="center"/>
    </xf>
    <xf numFmtId="0" fontId="46" fillId="7" borderId="23" xfId="0" applyFont="1" applyFill="1" applyBorder="1" applyAlignment="1" applyProtection="1">
      <alignment horizontal="center" vertical="center"/>
    </xf>
    <xf numFmtId="0" fontId="46" fillId="7" borderId="24" xfId="0" applyFont="1" applyFill="1" applyBorder="1" applyAlignment="1" applyProtection="1">
      <alignment horizontal="center" vertical="center"/>
    </xf>
    <xf numFmtId="0" fontId="47" fillId="7" borderId="12" xfId="0" applyFont="1" applyFill="1" applyBorder="1" applyAlignment="1" applyProtection="1">
      <alignment horizontal="center" vertical="center"/>
    </xf>
    <xf numFmtId="0" fontId="47" fillId="7" borderId="13" xfId="0" applyFont="1" applyFill="1" applyBorder="1" applyAlignment="1" applyProtection="1">
      <alignment horizontal="center" vertical="center"/>
    </xf>
    <xf numFmtId="0" fontId="27" fillId="2" borderId="88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vertical="center" wrapText="1"/>
    </xf>
    <xf numFmtId="3" fontId="27" fillId="16" borderId="79" xfId="0" applyNumberFormat="1" applyFont="1" applyFill="1" applyBorder="1" applyAlignment="1" applyProtection="1">
      <alignment horizontal="center" vertical="center" wrapText="1"/>
    </xf>
    <xf numFmtId="3" fontId="27" fillId="16" borderId="80" xfId="0" applyNumberFormat="1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left" vertical="center"/>
    </xf>
    <xf numFmtId="2" fontId="55" fillId="0" borderId="6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 applyProtection="1">
      <alignment horizontal="left" vertical="center"/>
      <protection locked="0"/>
    </xf>
    <xf numFmtId="0" fontId="54" fillId="0" borderId="27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0" borderId="12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2" fontId="54" fillId="0" borderId="12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0" fontId="54" fillId="0" borderId="44" xfId="0" applyFont="1" applyFill="1" applyBorder="1" applyAlignment="1" applyProtection="1">
      <alignment horizontal="left" vertical="center"/>
      <protection locked="0"/>
    </xf>
    <xf numFmtId="0" fontId="54" fillId="0" borderId="33" xfId="0" applyFont="1" applyFill="1" applyBorder="1" applyAlignment="1" applyProtection="1">
      <alignment horizontal="left" vertical="center"/>
      <protection locked="0"/>
    </xf>
    <xf numFmtId="0" fontId="54" fillId="0" borderId="45" xfId="0" applyFont="1" applyFill="1" applyBorder="1" applyAlignment="1" applyProtection="1">
      <alignment horizontal="left" vertical="center"/>
      <protection locked="0"/>
    </xf>
    <xf numFmtId="0" fontId="55" fillId="0" borderId="6" xfId="0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5" fillId="5" borderId="6" xfId="0" applyFont="1" applyFill="1" applyBorder="1" applyAlignment="1">
      <alignment horizontal="left" vertical="center" wrapText="1"/>
    </xf>
    <xf numFmtId="0" fontId="66" fillId="10" borderId="47" xfId="1" applyFont="1" applyFill="1" applyBorder="1" applyAlignment="1">
      <alignment horizontal="center" vertical="center"/>
    </xf>
    <xf numFmtId="0" fontId="66" fillId="10" borderId="25" xfId="1" applyFont="1" applyFill="1" applyBorder="1" applyAlignment="1">
      <alignment horizontal="center" vertical="center"/>
    </xf>
    <xf numFmtId="0" fontId="66" fillId="10" borderId="48" xfId="1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27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66" fillId="10" borderId="12" xfId="1" applyFont="1" applyFill="1" applyBorder="1" applyAlignment="1">
      <alignment horizontal="center" vertical="center"/>
    </xf>
    <xf numFmtId="0" fontId="66" fillId="10" borderId="27" xfId="1" applyFont="1" applyFill="1" applyBorder="1" applyAlignment="1">
      <alignment horizontal="center" vertical="center"/>
    </xf>
    <xf numFmtId="0" fontId="66" fillId="10" borderId="13" xfId="1" applyFont="1" applyFill="1" applyBorder="1" applyAlignment="1">
      <alignment horizontal="center" vertical="center"/>
    </xf>
    <xf numFmtId="0" fontId="66" fillId="10" borderId="44" xfId="1" applyFont="1" applyFill="1" applyBorder="1" applyAlignment="1">
      <alignment horizontal="center" vertical="center"/>
    </xf>
    <xf numFmtId="0" fontId="66" fillId="10" borderId="33" xfId="1" applyFont="1" applyFill="1" applyBorder="1" applyAlignment="1">
      <alignment horizontal="center" vertical="center"/>
    </xf>
    <xf numFmtId="0" fontId="66" fillId="10" borderId="45" xfId="1" applyFont="1" applyFill="1" applyBorder="1" applyAlignment="1">
      <alignment horizontal="center" vertical="center"/>
    </xf>
    <xf numFmtId="2" fontId="54" fillId="0" borderId="6" xfId="0" applyNumberFormat="1" applyFont="1" applyFill="1" applyBorder="1" applyAlignment="1">
      <alignment horizontal="center" vertical="center"/>
    </xf>
    <xf numFmtId="0" fontId="69" fillId="10" borderId="33" xfId="0" applyFont="1" applyFill="1" applyBorder="1" applyAlignment="1">
      <alignment horizontal="center" vertical="center"/>
    </xf>
    <xf numFmtId="0" fontId="69" fillId="10" borderId="45" xfId="0" applyFont="1" applyFill="1" applyBorder="1" applyAlignment="1">
      <alignment horizontal="center" vertical="center"/>
    </xf>
    <xf numFmtId="0" fontId="54" fillId="6" borderId="44" xfId="0" applyFont="1" applyFill="1" applyBorder="1" applyAlignment="1" applyProtection="1">
      <alignment horizontal="center" vertical="center" wrapText="1"/>
      <protection locked="0"/>
    </xf>
    <xf numFmtId="0" fontId="54" fillId="6" borderId="33" xfId="0" applyFont="1" applyFill="1" applyBorder="1" applyAlignment="1" applyProtection="1">
      <alignment horizontal="center" vertical="center" wrapText="1"/>
      <protection locked="0"/>
    </xf>
    <xf numFmtId="0" fontId="54" fillId="6" borderId="45" xfId="0" applyFont="1" applyFill="1" applyBorder="1" applyAlignment="1" applyProtection="1">
      <alignment horizontal="center" vertical="center" wrapText="1"/>
      <protection locked="0"/>
    </xf>
    <xf numFmtId="0" fontId="54" fillId="6" borderId="47" xfId="0" applyFont="1" applyFill="1" applyBorder="1" applyAlignment="1" applyProtection="1">
      <alignment horizontal="center" vertical="center" wrapText="1"/>
      <protection locked="0"/>
    </xf>
    <xf numFmtId="0" fontId="54" fillId="6" borderId="25" xfId="0" applyFont="1" applyFill="1" applyBorder="1" applyAlignment="1" applyProtection="1">
      <alignment horizontal="center" vertical="center" wrapText="1"/>
      <protection locked="0"/>
    </xf>
    <xf numFmtId="0" fontId="54" fillId="6" borderId="48" xfId="0" applyFont="1" applyFill="1" applyBorder="1" applyAlignment="1" applyProtection="1">
      <alignment horizontal="center" vertical="center" wrapText="1"/>
      <protection locked="0"/>
    </xf>
    <xf numFmtId="0" fontId="55" fillId="0" borderId="6" xfId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4" fillId="6" borderId="2" xfId="0" applyFont="1" applyFill="1" applyBorder="1" applyAlignment="1" applyProtection="1">
      <alignment horizontal="center" vertical="center" wrapText="1"/>
      <protection locked="0"/>
    </xf>
    <xf numFmtId="0" fontId="54" fillId="6" borderId="0" xfId="0" applyFont="1" applyFill="1" applyBorder="1" applyAlignment="1" applyProtection="1">
      <alignment horizontal="center" vertical="center" wrapText="1"/>
      <protection locked="0"/>
    </xf>
    <xf numFmtId="0" fontId="54" fillId="6" borderId="3" xfId="0" applyFont="1" applyFill="1" applyBorder="1" applyAlignment="1" applyProtection="1">
      <alignment horizontal="center" vertical="center" wrapText="1"/>
      <protection locked="0"/>
    </xf>
    <xf numFmtId="0" fontId="54" fillId="0" borderId="6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5" borderId="12" xfId="0" applyFont="1" applyFill="1" applyBorder="1" applyAlignment="1">
      <alignment horizontal="center" vertical="center"/>
    </xf>
    <xf numFmtId="0" fontId="55" fillId="5" borderId="27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  <protection locked="0"/>
    </xf>
    <xf numFmtId="0" fontId="39" fillId="6" borderId="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 wrapText="1"/>
    </xf>
    <xf numFmtId="0" fontId="40" fillId="0" borderId="27" xfId="0" applyFont="1" applyFill="1" applyBorder="1" applyAlignment="1" applyProtection="1">
      <alignment horizontal="center" vertical="center" wrapText="1"/>
    </xf>
    <xf numFmtId="0" fontId="40" fillId="0" borderId="13" xfId="0" applyFont="1" applyFill="1" applyBorder="1" applyAlignment="1" applyProtection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4" fillId="5" borderId="6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33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9" fontId="54" fillId="0" borderId="6" xfId="4" applyFont="1" applyFill="1" applyBorder="1" applyAlignment="1" applyProtection="1">
      <alignment horizontal="center" vertical="center"/>
      <protection locked="0"/>
    </xf>
    <xf numFmtId="0" fontId="55" fillId="6" borderId="33" xfId="0" applyFont="1" applyFill="1" applyBorder="1" applyAlignment="1" applyProtection="1">
      <alignment horizontal="center" vertical="center"/>
      <protection locked="0"/>
    </xf>
    <xf numFmtId="0" fontId="55" fillId="6" borderId="45" xfId="0" applyFont="1" applyFill="1" applyBorder="1" applyAlignment="1" applyProtection="1">
      <alignment horizontal="center" vertical="center"/>
      <protection locked="0"/>
    </xf>
    <xf numFmtId="0" fontId="55" fillId="6" borderId="0" xfId="0" applyFont="1" applyFill="1" applyBorder="1" applyAlignment="1" applyProtection="1">
      <alignment horizontal="center" vertical="center"/>
      <protection locked="0"/>
    </xf>
    <xf numFmtId="0" fontId="55" fillId="6" borderId="3" xfId="0" applyFont="1" applyFill="1" applyBorder="1" applyAlignment="1" applyProtection="1">
      <alignment horizontal="center" vertical="center"/>
      <protection locked="0"/>
    </xf>
    <xf numFmtId="0" fontId="55" fillId="0" borderId="2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47" xfId="0" applyFont="1" applyFill="1" applyBorder="1" applyAlignment="1" applyProtection="1">
      <alignment horizontal="center" vertical="center" wrapText="1"/>
    </xf>
    <xf numFmtId="0" fontId="55" fillId="0" borderId="25" xfId="0" applyFont="1" applyFill="1" applyBorder="1" applyAlignment="1" applyProtection="1">
      <alignment horizontal="center" vertical="center" wrapText="1"/>
    </xf>
    <xf numFmtId="0" fontId="55" fillId="0" borderId="48" xfId="0" applyFont="1" applyFill="1" applyBorder="1" applyAlignment="1" applyProtection="1">
      <alignment horizontal="center" vertical="center" wrapText="1"/>
    </xf>
    <xf numFmtId="0" fontId="54" fillId="0" borderId="2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 wrapText="1"/>
    </xf>
    <xf numFmtId="0" fontId="54" fillId="0" borderId="3" xfId="0" applyFont="1" applyFill="1" applyBorder="1" applyAlignment="1" applyProtection="1">
      <alignment horizontal="center" vertical="center" wrapText="1"/>
    </xf>
    <xf numFmtId="0" fontId="54" fillId="0" borderId="4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center" wrapText="1"/>
    </xf>
    <xf numFmtId="0" fontId="54" fillId="0" borderId="48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6" xfId="0" applyFont="1" applyFill="1" applyBorder="1" applyAlignment="1" applyProtection="1">
      <alignment horizontal="center" vertical="center"/>
      <protection locked="0"/>
    </xf>
    <xf numFmtId="9" fontId="54" fillId="0" borderId="34" xfId="4" applyFont="1" applyFill="1" applyBorder="1" applyAlignment="1" applyProtection="1">
      <alignment horizontal="center" vertical="center"/>
      <protection locked="0"/>
    </xf>
    <xf numFmtId="0" fontId="55" fillId="22" borderId="6" xfId="0" applyFont="1" applyFill="1" applyBorder="1" applyAlignment="1">
      <alignment horizontal="center" vertical="center"/>
    </xf>
    <xf numFmtId="0" fontId="54" fillId="0" borderId="6" xfId="0" applyFont="1" applyFill="1" applyBorder="1" applyAlignment="1" applyProtection="1">
      <alignment horizontal="left" vertical="center"/>
      <protection locked="0"/>
    </xf>
    <xf numFmtId="0" fontId="15" fillId="6" borderId="106" xfId="0" applyFont="1" applyFill="1" applyBorder="1" applyAlignment="1" applyProtection="1">
      <alignment horizontal="center" vertical="center" wrapText="1"/>
      <protection locked="0"/>
    </xf>
    <xf numFmtId="0" fontId="15" fillId="6" borderId="115" xfId="0" applyFont="1" applyFill="1" applyBorder="1" applyAlignment="1" applyProtection="1">
      <alignment horizontal="center" vertical="center" wrapText="1"/>
      <protection locked="0"/>
    </xf>
    <xf numFmtId="0" fontId="15" fillId="11" borderId="106" xfId="0" applyFont="1" applyFill="1" applyBorder="1" applyAlignment="1" applyProtection="1">
      <alignment horizontal="center" vertical="center" wrapText="1"/>
    </xf>
    <xf numFmtId="0" fontId="15" fillId="11" borderId="115" xfId="0" applyFont="1" applyFill="1" applyBorder="1" applyAlignment="1" applyProtection="1">
      <alignment horizontal="center" vertical="center" wrapText="1"/>
    </xf>
    <xf numFmtId="9" fontId="15" fillId="18" borderId="106" xfId="0" applyNumberFormat="1" applyFont="1" applyFill="1" applyBorder="1" applyAlignment="1" applyProtection="1">
      <alignment horizontal="center" vertical="center" wrapText="1"/>
    </xf>
    <xf numFmtId="9" fontId="15" fillId="18" borderId="115" xfId="0" applyNumberFormat="1" applyFont="1" applyFill="1" applyBorder="1" applyAlignment="1" applyProtection="1">
      <alignment horizontal="center" vertical="center" wrapText="1"/>
    </xf>
    <xf numFmtId="0" fontId="63" fillId="10" borderId="106" xfId="0" applyFont="1" applyFill="1" applyBorder="1" applyAlignment="1" applyProtection="1">
      <alignment horizontal="center" vertical="center" wrapText="1"/>
    </xf>
    <xf numFmtId="0" fontId="63" fillId="10" borderId="114" xfId="0" applyFont="1" applyFill="1" applyBorder="1" applyAlignment="1" applyProtection="1">
      <alignment horizontal="center" vertical="center" wrapText="1"/>
    </xf>
    <xf numFmtId="0" fontId="63" fillId="10" borderId="115" xfId="0" applyFont="1" applyFill="1" applyBorder="1" applyAlignment="1" applyProtection="1">
      <alignment horizontal="center" vertical="center" wrapText="1"/>
    </xf>
    <xf numFmtId="0" fontId="24" fillId="18" borderId="106" xfId="0" applyFont="1" applyFill="1" applyBorder="1" applyAlignment="1" applyProtection="1">
      <alignment horizontal="left" vertical="center" wrapText="1"/>
    </xf>
    <xf numFmtId="0" fontId="24" fillId="18" borderId="114" xfId="0" applyFont="1" applyFill="1" applyBorder="1" applyAlignment="1" applyProtection="1">
      <alignment horizontal="left" vertical="center" wrapText="1"/>
    </xf>
    <xf numFmtId="0" fontId="24" fillId="18" borderId="115" xfId="0" applyFont="1" applyFill="1" applyBorder="1" applyAlignment="1" applyProtection="1">
      <alignment horizontal="left" vertical="center" wrapText="1"/>
    </xf>
    <xf numFmtId="0" fontId="24" fillId="11" borderId="106" xfId="0" applyFont="1" applyFill="1" applyBorder="1" applyAlignment="1" applyProtection="1">
      <alignment horizontal="center" vertical="center" wrapText="1"/>
    </xf>
    <xf numFmtId="0" fontId="24" fillId="11" borderId="115" xfId="0" applyFont="1" applyFill="1" applyBorder="1" applyAlignment="1" applyProtection="1">
      <alignment horizontal="center" vertical="center" wrapText="1"/>
    </xf>
    <xf numFmtId="0" fontId="15" fillId="11" borderId="116" xfId="0" applyFont="1" applyFill="1" applyBorder="1" applyAlignment="1" applyProtection="1">
      <alignment horizontal="center" vertical="center" wrapText="1"/>
    </xf>
    <xf numFmtId="0" fontId="15" fillId="11" borderId="117" xfId="0" applyFont="1" applyFill="1" applyBorder="1" applyAlignment="1" applyProtection="1">
      <alignment horizontal="center" vertical="center" wrapText="1"/>
    </xf>
    <xf numFmtId="0" fontId="15" fillId="11" borderId="118" xfId="0" applyFont="1" applyFill="1" applyBorder="1" applyAlignment="1" applyProtection="1">
      <alignment horizontal="center" vertical="center" wrapText="1"/>
    </xf>
    <xf numFmtId="0" fontId="15" fillId="11" borderId="119" xfId="0" applyFont="1" applyFill="1" applyBorder="1" applyAlignment="1" applyProtection="1">
      <alignment horizontal="center" vertical="center" wrapText="1"/>
    </xf>
    <xf numFmtId="0" fontId="15" fillId="11" borderId="120" xfId="0" applyFont="1" applyFill="1" applyBorder="1" applyAlignment="1" applyProtection="1">
      <alignment horizontal="center" vertical="center" wrapText="1"/>
    </xf>
    <xf numFmtId="0" fontId="15" fillId="11" borderId="110" xfId="0" applyFont="1" applyFill="1" applyBorder="1" applyAlignment="1" applyProtection="1">
      <alignment horizontal="center" vertical="center" wrapText="1"/>
    </xf>
    <xf numFmtId="0" fontId="15" fillId="6" borderId="116" xfId="0" applyFont="1" applyFill="1" applyBorder="1" applyAlignment="1" applyProtection="1">
      <alignment horizontal="center" vertical="center" wrapText="1"/>
      <protection locked="0"/>
    </xf>
    <xf numFmtId="0" fontId="15" fillId="6" borderId="117" xfId="0" applyFont="1" applyFill="1" applyBorder="1" applyAlignment="1" applyProtection="1">
      <alignment horizontal="center" vertical="center" wrapText="1"/>
      <protection locked="0"/>
    </xf>
    <xf numFmtId="0" fontId="15" fillId="6" borderId="118" xfId="0" applyFont="1" applyFill="1" applyBorder="1" applyAlignment="1" applyProtection="1">
      <alignment horizontal="center" vertical="center" wrapText="1"/>
      <protection locked="0"/>
    </xf>
    <xf numFmtId="0" fontId="15" fillId="6" borderId="119" xfId="0" applyFont="1" applyFill="1" applyBorder="1" applyAlignment="1" applyProtection="1">
      <alignment horizontal="center" vertical="center" wrapText="1"/>
      <protection locked="0"/>
    </xf>
    <xf numFmtId="0" fontId="15" fillId="6" borderId="120" xfId="0" applyFont="1" applyFill="1" applyBorder="1" applyAlignment="1" applyProtection="1">
      <alignment horizontal="center" vertical="center" wrapText="1"/>
      <protection locked="0"/>
    </xf>
    <xf numFmtId="0" fontId="15" fillId="6" borderId="110" xfId="0" applyFont="1" applyFill="1" applyBorder="1" applyAlignment="1" applyProtection="1">
      <alignment horizontal="center" vertical="center" wrapText="1"/>
      <protection locked="0"/>
    </xf>
    <xf numFmtId="0" fontId="15" fillId="6" borderId="121" xfId="0" applyFont="1" applyFill="1" applyBorder="1" applyAlignment="1" applyProtection="1">
      <alignment horizontal="center" vertical="center" wrapText="1"/>
      <protection locked="0"/>
    </xf>
    <xf numFmtId="0" fontId="15" fillId="6" borderId="122" xfId="0" applyFont="1" applyFill="1" applyBorder="1" applyAlignment="1" applyProtection="1">
      <alignment horizontal="center" vertical="center" wrapText="1"/>
      <protection locked="0"/>
    </xf>
    <xf numFmtId="0" fontId="15" fillId="6" borderId="105" xfId="0" applyFont="1" applyFill="1" applyBorder="1" applyAlignment="1" applyProtection="1">
      <alignment horizontal="center" vertical="center" wrapText="1"/>
      <protection locked="0"/>
    </xf>
    <xf numFmtId="0" fontId="58" fillId="10" borderId="106" xfId="0" applyFont="1" applyFill="1" applyBorder="1" applyAlignment="1" applyProtection="1">
      <alignment horizontal="center" vertical="center" wrapText="1"/>
    </xf>
    <xf numFmtId="0" fontId="58" fillId="10" borderId="115" xfId="0" applyFont="1" applyFill="1" applyBorder="1" applyAlignment="1" applyProtection="1">
      <alignment horizontal="center" vertical="center" wrapText="1"/>
    </xf>
    <xf numFmtId="9" fontId="15" fillId="6" borderId="106" xfId="0" applyNumberFormat="1" applyFont="1" applyFill="1" applyBorder="1" applyAlignment="1" applyProtection="1">
      <alignment horizontal="center" vertical="center" wrapText="1"/>
      <protection locked="0"/>
    </xf>
    <xf numFmtId="9" fontId="15" fillId="6" borderId="115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04" xfId="0" applyFont="1" applyFill="1" applyBorder="1" applyAlignment="1" applyProtection="1">
      <alignment horizontal="center" vertical="center" wrapText="1"/>
      <protection locked="0"/>
    </xf>
    <xf numFmtId="0" fontId="15" fillId="18" borderId="106" xfId="0" applyFont="1" applyFill="1" applyBorder="1" applyAlignment="1" applyProtection="1">
      <alignment horizontal="left" vertical="center" wrapText="1"/>
    </xf>
    <xf numFmtId="0" fontId="15" fillId="18" borderId="114" xfId="0" applyFont="1" applyFill="1" applyBorder="1" applyAlignment="1" applyProtection="1">
      <alignment horizontal="left" vertical="center" wrapText="1"/>
    </xf>
    <xf numFmtId="0" fontId="15" fillId="18" borderId="115" xfId="0" applyFont="1" applyFill="1" applyBorder="1" applyAlignment="1" applyProtection="1">
      <alignment horizontal="left" vertical="center" wrapText="1"/>
    </xf>
    <xf numFmtId="9" fontId="24" fillId="15" borderId="104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06" xfId="0" applyFont="1" applyFill="1" applyBorder="1" applyAlignment="1" applyProtection="1">
      <alignment horizontal="left" vertical="center" wrapText="1"/>
    </xf>
    <xf numFmtId="0" fontId="24" fillId="11" borderId="114" xfId="0" applyFont="1" applyFill="1" applyBorder="1" applyAlignment="1" applyProtection="1">
      <alignment horizontal="left" vertical="center" wrapText="1"/>
    </xf>
    <xf numFmtId="0" fontId="24" fillId="11" borderId="115" xfId="0" applyFont="1" applyFill="1" applyBorder="1" applyAlignment="1" applyProtection="1">
      <alignment horizontal="left" vertical="center" wrapText="1"/>
    </xf>
    <xf numFmtId="0" fontId="24" fillId="18" borderId="106" xfId="0" applyFont="1" applyFill="1" applyBorder="1" applyAlignment="1" applyProtection="1">
      <alignment horizontal="center" vertical="center" wrapText="1"/>
    </xf>
    <xf numFmtId="0" fontId="24" fillId="18" borderId="115" xfId="0" applyFont="1" applyFill="1" applyBorder="1" applyAlignment="1" applyProtection="1">
      <alignment horizontal="center" vertical="center" wrapText="1"/>
    </xf>
    <xf numFmtId="0" fontId="15" fillId="18" borderId="106" xfId="0" applyFont="1" applyFill="1" applyBorder="1" applyAlignment="1" applyProtection="1">
      <alignment horizontal="center" vertical="center" wrapText="1"/>
    </xf>
    <xf numFmtId="0" fontId="15" fillId="18" borderId="115" xfId="0" applyFont="1" applyFill="1" applyBorder="1" applyAlignment="1" applyProtection="1">
      <alignment horizontal="center" vertical="center" wrapText="1"/>
    </xf>
    <xf numFmtId="9" fontId="15" fillId="6" borderId="104" xfId="0" applyNumberFormat="1" applyFont="1" applyFill="1" applyBorder="1" applyAlignment="1" applyProtection="1">
      <alignment horizontal="center" vertical="center" wrapText="1"/>
      <protection locked="0"/>
    </xf>
    <xf numFmtId="0" fontId="58" fillId="10" borderId="114" xfId="0" applyFont="1" applyFill="1" applyBorder="1" applyAlignment="1" applyProtection="1">
      <alignment horizontal="center" vertical="center" wrapText="1"/>
    </xf>
  </cellXfs>
  <cellStyles count="5">
    <cellStyle name="Accent1" xfId="1" builtinId="29"/>
    <cellStyle name="Comma" xfId="3" builtinId="3"/>
    <cellStyle name="Hyperlink" xfId="2" builtinId="8"/>
    <cellStyle name="Normal" xfId="0" builtinId="0"/>
    <cellStyle name="Percent" xfId="4" builtinId="5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008000"/>
      <rgbColor rgb="00000080"/>
      <rgbColor rgb="00FF0000"/>
      <rgbColor rgb="00800080"/>
      <rgbColor rgb="00B8CCE4"/>
      <rgbColor rgb="00FF00FF"/>
      <rgbColor rgb="00FABF8F"/>
      <rgbColor rgb="00FFFF00"/>
      <rgbColor rgb="0000FF00"/>
      <rgbColor rgb="007B4B23"/>
      <rgbColor rgb="00800000"/>
      <rgbColor rgb="00F09AD7"/>
      <rgbColor rgb="009999FF"/>
      <rgbColor rgb="00C0C0C0"/>
      <rgbColor rgb="00F79646"/>
      <rgbColor rgb="00008080"/>
      <rgbColor rgb="000F243E"/>
      <rgbColor rgb="00F7CECD"/>
      <rgbColor rgb="003333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66675</xdr:rowOff>
    </xdr:from>
    <xdr:to>
      <xdr:col>10</xdr:col>
      <xdr:colOff>723900</xdr:colOff>
      <xdr:row>0</xdr:row>
      <xdr:rowOff>419100</xdr:rowOff>
    </xdr:to>
    <xdr:pic>
      <xdr:nvPicPr>
        <xdr:cNvPr id="30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66675"/>
          <a:ext cx="2905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180975</xdr:colOff>
      <xdr:row>7</xdr:row>
      <xdr:rowOff>9525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42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180975</xdr:colOff>
      <xdr:row>2</xdr:row>
      <xdr:rowOff>76200</xdr:rowOff>
    </xdr:to>
    <xdr:pic>
      <xdr:nvPicPr>
        <xdr:cNvPr id="1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1362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923925</xdr:colOff>
      <xdr:row>1</xdr:row>
      <xdr:rowOff>104775</xdr:rowOff>
    </xdr:from>
    <xdr:to>
      <xdr:col>10</xdr:col>
      <xdr:colOff>1143000</xdr:colOff>
      <xdr:row>1</xdr:row>
      <xdr:rowOff>619125</xdr:rowOff>
    </xdr:to>
    <xdr:pic>
      <xdr:nvPicPr>
        <xdr:cNvPr id="14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71450"/>
          <a:ext cx="3762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981075</xdr:colOff>
      <xdr:row>274</xdr:row>
      <xdr:rowOff>76200</xdr:rowOff>
    </xdr:from>
    <xdr:to>
      <xdr:col>5</xdr:col>
      <xdr:colOff>923925</xdr:colOff>
      <xdr:row>275</xdr:row>
      <xdr:rowOff>123825</xdr:rowOff>
    </xdr:to>
    <xdr:pic>
      <xdr:nvPicPr>
        <xdr:cNvPr id="14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4726125"/>
          <a:ext cx="1123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69</xdr:row>
      <xdr:rowOff>57150</xdr:rowOff>
    </xdr:from>
    <xdr:to>
      <xdr:col>5</xdr:col>
      <xdr:colOff>609600</xdr:colOff>
      <xdr:row>69</xdr:row>
      <xdr:rowOff>342900</xdr:rowOff>
    </xdr:to>
    <xdr:pic>
      <xdr:nvPicPr>
        <xdr:cNvPr id="14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2983825"/>
          <a:ext cx="1209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304</xdr:row>
      <xdr:rowOff>0</xdr:rowOff>
    </xdr:from>
    <xdr:to>
      <xdr:col>8</xdr:col>
      <xdr:colOff>180975</xdr:colOff>
      <xdr:row>304</xdr:row>
      <xdr:rowOff>209550</xdr:rowOff>
    </xdr:to>
    <xdr:pic>
      <xdr:nvPicPr>
        <xdr:cNvPr id="149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07927775"/>
          <a:ext cx="1266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304</xdr:row>
      <xdr:rowOff>66675</xdr:rowOff>
    </xdr:from>
    <xdr:to>
      <xdr:col>8</xdr:col>
      <xdr:colOff>161925</xdr:colOff>
      <xdr:row>304</xdr:row>
      <xdr:rowOff>276225</xdr:rowOff>
    </xdr:to>
    <xdr:pic>
      <xdr:nvPicPr>
        <xdr:cNvPr id="149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0799445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305</xdr:row>
      <xdr:rowOff>57150</xdr:rowOff>
    </xdr:from>
    <xdr:to>
      <xdr:col>8</xdr:col>
      <xdr:colOff>161925</xdr:colOff>
      <xdr:row>305</xdr:row>
      <xdr:rowOff>266700</xdr:rowOff>
    </xdr:to>
    <xdr:pic>
      <xdr:nvPicPr>
        <xdr:cNvPr id="149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08299250"/>
          <a:ext cx="1257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307</xdr:row>
      <xdr:rowOff>38100</xdr:rowOff>
    </xdr:from>
    <xdr:to>
      <xdr:col>8</xdr:col>
      <xdr:colOff>180975</xdr:colOff>
      <xdr:row>307</xdr:row>
      <xdr:rowOff>247650</xdr:rowOff>
    </xdr:to>
    <xdr:pic>
      <xdr:nvPicPr>
        <xdr:cNvPr id="14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08908850"/>
          <a:ext cx="1266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40</xdr:row>
      <xdr:rowOff>0</xdr:rowOff>
    </xdr:from>
    <xdr:to>
      <xdr:col>10</xdr:col>
      <xdr:colOff>180975</xdr:colOff>
      <xdr:row>40</xdr:row>
      <xdr:rowOff>285750</xdr:rowOff>
    </xdr:to>
    <xdr:pic>
      <xdr:nvPicPr>
        <xdr:cNvPr id="14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3173075"/>
          <a:ext cx="1209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cat9deoctubrelapulpera@gmail.com" TargetMode="Externa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3"/>
  <sheetViews>
    <sheetView zoomScale="80" zoomScaleNormal="80" workbookViewId="0">
      <selection activeCell="N51" sqref="N51"/>
    </sheetView>
  </sheetViews>
  <sheetFormatPr defaultColWidth="11.42578125" defaultRowHeight="15" x14ac:dyDescent="0.25"/>
  <sheetData>
    <row r="1" spans="1:11" ht="35.25" customHeight="1" x14ac:dyDescent="0.25">
      <c r="A1" s="723" t="s">
        <v>333</v>
      </c>
      <c r="B1" s="724"/>
      <c r="C1" s="724"/>
      <c r="D1" s="724"/>
      <c r="E1" s="724"/>
      <c r="F1" s="724"/>
      <c r="G1" s="724"/>
      <c r="H1" s="724"/>
      <c r="I1" s="724"/>
      <c r="J1" s="724"/>
      <c r="K1" s="725"/>
    </row>
    <row r="2" spans="1:11" ht="11.25" customHeight="1" thickBot="1" x14ac:dyDescent="0.3">
      <c r="A2" s="264"/>
      <c r="B2" s="263"/>
      <c r="C2" s="263"/>
      <c r="D2" s="263"/>
      <c r="E2" s="263"/>
      <c r="F2" s="263"/>
      <c r="G2" s="263"/>
      <c r="H2" s="263"/>
      <c r="I2" s="263"/>
      <c r="J2" s="263"/>
      <c r="K2" s="265"/>
    </row>
    <row r="3" spans="1:11" ht="23.25" customHeight="1" thickBot="1" x14ac:dyDescent="0.3">
      <c r="A3" s="737" t="s">
        <v>479</v>
      </c>
      <c r="B3" s="738"/>
      <c r="C3" s="738"/>
      <c r="D3" s="738"/>
      <c r="E3" s="738"/>
      <c r="F3" s="738"/>
      <c r="G3" s="738"/>
      <c r="H3" s="738"/>
      <c r="I3" s="738"/>
      <c r="J3" s="738"/>
      <c r="K3" s="739"/>
    </row>
    <row r="4" spans="1:11" ht="5.25" customHeight="1" x14ac:dyDescent="0.25">
      <c r="A4" s="264"/>
      <c r="B4" s="263"/>
      <c r="C4" s="263"/>
      <c r="D4" s="263"/>
      <c r="E4" s="263"/>
      <c r="F4" s="263"/>
      <c r="G4" s="263"/>
      <c r="H4" s="263"/>
      <c r="I4" s="263"/>
      <c r="J4" s="263"/>
      <c r="K4" s="265"/>
    </row>
    <row r="5" spans="1:11" ht="5.25" customHeight="1" thickBot="1" x14ac:dyDescent="0.3">
      <c r="A5" s="264"/>
      <c r="B5" s="263"/>
      <c r="C5" s="263"/>
      <c r="D5" s="263"/>
      <c r="E5" s="263"/>
      <c r="F5" s="263"/>
      <c r="G5" s="263"/>
      <c r="H5" s="263"/>
      <c r="I5" s="263"/>
      <c r="J5" s="263"/>
      <c r="K5" s="265"/>
    </row>
    <row r="6" spans="1:11" ht="19.5" customHeight="1" thickBot="1" x14ac:dyDescent="0.3">
      <c r="A6" s="740" t="s">
        <v>478</v>
      </c>
      <c r="B6" s="741"/>
      <c r="C6" s="742"/>
      <c r="D6" s="743"/>
      <c r="E6" s="744"/>
      <c r="F6" s="744"/>
      <c r="G6" s="744"/>
      <c r="H6" s="744"/>
      <c r="I6" s="744"/>
      <c r="J6" s="744"/>
      <c r="K6" s="745"/>
    </row>
    <row r="7" spans="1:11" ht="5.25" customHeight="1" x14ac:dyDescent="0.25">
      <c r="A7" s="264"/>
      <c r="B7" s="263"/>
      <c r="C7" s="263"/>
      <c r="D7" s="263"/>
      <c r="E7" s="263"/>
      <c r="F7" s="263"/>
      <c r="G7" s="263"/>
      <c r="H7" s="263"/>
      <c r="I7" s="263"/>
      <c r="J7" s="263"/>
      <c r="K7" s="265"/>
    </row>
    <row r="8" spans="1:11" s="44" customFormat="1" ht="20.100000000000001" customHeight="1" x14ac:dyDescent="0.25">
      <c r="A8" s="293" t="s">
        <v>204</v>
      </c>
      <c r="B8" s="294"/>
      <c r="C8" s="294"/>
      <c r="D8" s="294"/>
      <c r="E8" s="294"/>
      <c r="F8" s="294"/>
      <c r="G8" s="294"/>
      <c r="H8" s="295"/>
      <c r="I8" s="295"/>
      <c r="J8" s="295"/>
      <c r="K8" s="296"/>
    </row>
    <row r="9" spans="1:11" s="44" customFormat="1" ht="8.25" customHeight="1" thickBot="1" x14ac:dyDescent="0.3">
      <c r="A9" s="297"/>
      <c r="B9" s="294"/>
      <c r="C9" s="294"/>
      <c r="D9" s="294"/>
      <c r="E9" s="294"/>
      <c r="F9" s="294"/>
      <c r="G9" s="294"/>
      <c r="H9" s="295"/>
      <c r="I9" s="295"/>
      <c r="J9" s="295"/>
      <c r="K9" s="296"/>
    </row>
    <row r="10" spans="1:11" s="44" customFormat="1" ht="18" customHeight="1" thickBot="1" x14ac:dyDescent="0.3">
      <c r="A10" s="298" t="s">
        <v>0</v>
      </c>
      <c r="B10" s="299"/>
      <c r="C10" s="300"/>
      <c r="D10" s="726" t="str">
        <f>' Plan de Negocio'!D6</f>
        <v>ARE-2017-10</v>
      </c>
      <c r="E10" s="727"/>
      <c r="F10" s="728"/>
      <c r="G10" s="294"/>
      <c r="H10" s="21" t="s">
        <v>332</v>
      </c>
      <c r="I10" s="301"/>
      <c r="J10" s="729">
        <f>' Plan de Negocio'!J6</f>
        <v>42997</v>
      </c>
      <c r="K10" s="730"/>
    </row>
    <row r="11" spans="1:11" s="44" customFormat="1" ht="8.25" customHeight="1" thickBot="1" x14ac:dyDescent="0.3">
      <c r="A11" s="302"/>
      <c r="B11" s="294"/>
      <c r="C11" s="294"/>
      <c r="D11" s="294"/>
      <c r="E11" s="294"/>
      <c r="F11" s="295"/>
      <c r="G11" s="295"/>
      <c r="H11" s="295"/>
      <c r="I11" s="295"/>
      <c r="J11" s="295"/>
      <c r="K11" s="296"/>
    </row>
    <row r="12" spans="1:11" s="44" customFormat="1" ht="29.25" customHeight="1" thickBot="1" x14ac:dyDescent="0.3">
      <c r="A12" s="23" t="s">
        <v>123</v>
      </c>
      <c r="B12" s="303"/>
      <c r="C12" s="304"/>
      <c r="D12" s="731" t="str">
        <f>' Plan de Negocio'!D8</f>
        <v>Fortalecimiento de la cadena láctea en producción orgánica para la Cooperativa Agraria de Trabajadores 9 de Octubre La Pulpera.</v>
      </c>
      <c r="E12" s="731"/>
      <c r="F12" s="731"/>
      <c r="G12" s="731"/>
      <c r="H12" s="731"/>
      <c r="I12" s="731"/>
      <c r="J12" s="731"/>
      <c r="K12" s="732"/>
    </row>
    <row r="13" spans="1:11" s="44" customFormat="1" ht="14.25" customHeight="1" thickBot="1" x14ac:dyDescent="0.3">
      <c r="A13" s="305"/>
      <c r="B13" s="306"/>
      <c r="C13" s="306"/>
      <c r="D13" s="307"/>
      <c r="E13" s="307"/>
      <c r="F13" s="307"/>
      <c r="G13" s="307"/>
      <c r="H13" s="307"/>
      <c r="I13" s="307"/>
      <c r="J13" s="307"/>
      <c r="K13" s="307"/>
    </row>
    <row r="14" spans="1:11" s="44" customFormat="1" ht="21" customHeight="1" x14ac:dyDescent="0.25">
      <c r="A14" s="746" t="s">
        <v>394</v>
      </c>
      <c r="B14" s="747"/>
      <c r="C14" s="748"/>
      <c r="D14" s="759" t="s">
        <v>396</v>
      </c>
      <c r="E14" s="760"/>
      <c r="F14" s="760"/>
      <c r="G14" s="760"/>
      <c r="H14" s="760"/>
      <c r="I14" s="760"/>
      <c r="J14" s="760"/>
      <c r="K14" s="761"/>
    </row>
    <row r="15" spans="1:11" s="44" customFormat="1" ht="29.25" customHeight="1" x14ac:dyDescent="0.25">
      <c r="A15" s="749"/>
      <c r="B15" s="750"/>
      <c r="C15" s="751"/>
      <c r="D15" s="762" t="s">
        <v>47</v>
      </c>
      <c r="E15" s="763"/>
      <c r="F15" s="763" t="s">
        <v>52</v>
      </c>
      <c r="G15" s="763"/>
      <c r="H15" s="763" t="s">
        <v>395</v>
      </c>
      <c r="I15" s="763"/>
      <c r="J15" s="763" t="s">
        <v>41</v>
      </c>
      <c r="K15" s="764"/>
    </row>
    <row r="16" spans="1:11" s="44" customFormat="1" ht="24.75" customHeight="1" thickBot="1" x14ac:dyDescent="0.3">
      <c r="A16" s="752"/>
      <c r="B16" s="753"/>
      <c r="C16" s="754"/>
      <c r="D16" s="765">
        <f>' Plan de Negocio'!H141</f>
        <v>0</v>
      </c>
      <c r="E16" s="766"/>
      <c r="F16" s="767">
        <f>' Plan de Negocio'!I141+Inversiones!E19+(Inversiones!E34/12)+Inversiones!E40</f>
        <v>1042236.27</v>
      </c>
      <c r="G16" s="766"/>
      <c r="H16" s="767">
        <f>' Plan de Negocio'!J141</f>
        <v>0</v>
      </c>
      <c r="I16" s="766"/>
      <c r="J16" s="768">
        <f>D16+F16+H16</f>
        <v>1042236.27</v>
      </c>
      <c r="K16" s="769"/>
    </row>
    <row r="17" spans="1:11" s="44" customFormat="1" ht="7.5" customHeight="1" x14ac:dyDescent="0.25">
      <c r="A17" s="302"/>
      <c r="B17" s="294"/>
      <c r="C17" s="294"/>
      <c r="D17" s="294"/>
      <c r="E17" s="294"/>
      <c r="F17" s="295"/>
      <c r="G17" s="295"/>
      <c r="H17" s="295"/>
      <c r="I17" s="295"/>
      <c r="J17" s="295"/>
      <c r="K17" s="296"/>
    </row>
    <row r="18" spans="1:11" s="44" customFormat="1" ht="18.75" customHeight="1" x14ac:dyDescent="0.25">
      <c r="A18" s="734" t="s">
        <v>313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6"/>
    </row>
    <row r="19" spans="1:11" s="44" customFormat="1" ht="6" customHeight="1" thickBot="1" x14ac:dyDescent="0.3">
      <c r="A19" s="26"/>
      <c r="B19" s="14"/>
      <c r="C19" s="14"/>
      <c r="D19" s="14"/>
      <c r="E19" s="24"/>
      <c r="F19" s="24"/>
      <c r="G19" s="24"/>
      <c r="H19" s="24"/>
      <c r="I19" s="14"/>
      <c r="J19" s="14"/>
      <c r="K19" s="308"/>
    </row>
    <row r="20" spans="1:11" s="44" customFormat="1" ht="20.100000000000001" customHeight="1" x14ac:dyDescent="0.25">
      <c r="A20" s="770" t="s">
        <v>12</v>
      </c>
      <c r="B20" s="771"/>
      <c r="C20" s="772">
        <f>' Plan de Negocio'!D29</f>
        <v>20135193152</v>
      </c>
      <c r="D20" s="772"/>
      <c r="E20" s="773" t="s">
        <v>397</v>
      </c>
      <c r="F20" s="773"/>
      <c r="G20" s="779" t="str">
        <f>' Plan de Negocio'!D30</f>
        <v>Cooperativa Agraria de Trabajadores 9 de Octubre La Pulpera</v>
      </c>
      <c r="H20" s="779"/>
      <c r="I20" s="779"/>
      <c r="J20" s="779"/>
      <c r="K20" s="780"/>
    </row>
    <row r="21" spans="1:11" s="44" customFormat="1" ht="20.100000000000001" customHeight="1" x14ac:dyDescent="0.25">
      <c r="A21" s="755" t="s">
        <v>17</v>
      </c>
      <c r="B21" s="756"/>
      <c r="C21" s="787" t="str">
        <f>' Plan de Negocio'!D34</f>
        <v>054-812077</v>
      </c>
      <c r="D21" s="787"/>
      <c r="E21" s="796" t="s">
        <v>14</v>
      </c>
      <c r="F21" s="796"/>
      <c r="G21" s="781" t="str">
        <f>' Plan de Negocio'!D31</f>
        <v>Samuel Onofre Maque</v>
      </c>
      <c r="H21" s="781"/>
      <c r="I21" s="781"/>
      <c r="J21" s="781"/>
      <c r="K21" s="782"/>
    </row>
    <row r="22" spans="1:11" s="44" customFormat="1" ht="20.100000000000001" customHeight="1" x14ac:dyDescent="0.25">
      <c r="A22" s="755" t="s">
        <v>25</v>
      </c>
      <c r="B22" s="756"/>
      <c r="C22" s="787" t="str">
        <f>' Plan de Negocio'!D32</f>
        <v>Presidente</v>
      </c>
      <c r="D22" s="787"/>
      <c r="E22" s="796" t="s">
        <v>27</v>
      </c>
      <c r="F22" s="796"/>
      <c r="G22" s="781" t="str">
        <f>' Plan de Negocio'!D33</f>
        <v>Anexo La Pulpera s/n</v>
      </c>
      <c r="H22" s="781"/>
      <c r="I22" s="781"/>
      <c r="J22" s="781"/>
      <c r="K22" s="782"/>
    </row>
    <row r="23" spans="1:11" s="44" customFormat="1" ht="20.100000000000001" customHeight="1" thickBot="1" x14ac:dyDescent="0.3">
      <c r="A23" s="757" t="s">
        <v>405</v>
      </c>
      <c r="B23" s="758"/>
      <c r="C23" s="774">
        <f>J37</f>
        <v>42</v>
      </c>
      <c r="D23" s="774"/>
      <c r="E23" s="733" t="s">
        <v>29</v>
      </c>
      <c r="F23" s="733"/>
      <c r="G23" s="785" t="str">
        <f>' Plan de Negocio'!D35</f>
        <v>cat9deoctubrelapulpera@gmail.com</v>
      </c>
      <c r="H23" s="785"/>
      <c r="I23" s="785"/>
      <c r="J23" s="785"/>
      <c r="K23" s="786"/>
    </row>
    <row r="24" spans="1:11" s="44" customFormat="1" ht="11.25" customHeight="1" x14ac:dyDescent="0.25">
      <c r="A24" s="302"/>
      <c r="B24" s="294"/>
      <c r="C24" s="294"/>
      <c r="D24" s="294"/>
      <c r="E24" s="294"/>
      <c r="F24" s="295"/>
      <c r="G24" s="295"/>
      <c r="H24" s="295"/>
      <c r="I24" s="295"/>
      <c r="J24" s="295"/>
      <c r="K24" s="296"/>
    </row>
    <row r="25" spans="1:11" s="44" customFormat="1" ht="15" customHeight="1" thickBot="1" x14ac:dyDescent="0.3">
      <c r="A25" s="692" t="s">
        <v>398</v>
      </c>
      <c r="B25" s="693"/>
      <c r="C25" s="693"/>
      <c r="D25" s="306"/>
      <c r="E25" s="294"/>
      <c r="F25" s="295"/>
      <c r="G25" s="295"/>
      <c r="H25" s="295"/>
      <c r="I25" s="295"/>
      <c r="J25" s="295"/>
      <c r="K25" s="296"/>
    </row>
    <row r="26" spans="1:11" s="44" customFormat="1" ht="20.100000000000001" customHeight="1" x14ac:dyDescent="0.25">
      <c r="A26" s="806" t="s">
        <v>401</v>
      </c>
      <c r="B26" s="807"/>
      <c r="C26" s="799" t="str">
        <f>' Plan de Negocio'!D12</f>
        <v>Arequipa</v>
      </c>
      <c r="D26" s="799"/>
      <c r="E26" s="797" t="s">
        <v>403</v>
      </c>
      <c r="F26" s="798"/>
      <c r="G26" s="788" t="str">
        <f>' Plan de Negocio'!D13</f>
        <v>Caylloma</v>
      </c>
      <c r="H26" s="789"/>
      <c r="I26" s="789"/>
      <c r="J26" s="789"/>
      <c r="K26" s="790"/>
    </row>
    <row r="27" spans="1:11" s="44" customFormat="1" ht="20.100000000000001" customHeight="1" thickBot="1" x14ac:dyDescent="0.3">
      <c r="A27" s="777" t="s">
        <v>402</v>
      </c>
      <c r="B27" s="778"/>
      <c r="C27" s="700" t="str">
        <f>' Plan de Negocio'!D14</f>
        <v>Yanque</v>
      </c>
      <c r="D27" s="700"/>
      <c r="E27" s="808" t="s">
        <v>404</v>
      </c>
      <c r="F27" s="809"/>
      <c r="G27" s="803">
        <f>' Plan de Negocio'!D15</f>
        <v>0</v>
      </c>
      <c r="H27" s="804"/>
      <c r="I27" s="804"/>
      <c r="J27" s="804"/>
      <c r="K27" s="805"/>
    </row>
    <row r="28" spans="1:11" s="44" customFormat="1" ht="10.5" customHeight="1" x14ac:dyDescent="0.25">
      <c r="A28" s="309"/>
      <c r="B28" s="310"/>
      <c r="C28" s="310"/>
      <c r="D28" s="307"/>
      <c r="E28" s="14"/>
      <c r="F28" s="310"/>
      <c r="G28" s="310"/>
      <c r="H28" s="310"/>
      <c r="I28" s="310"/>
      <c r="J28" s="310"/>
      <c r="K28" s="311"/>
    </row>
    <row r="29" spans="1:11" s="44" customFormat="1" ht="15" customHeight="1" thickBot="1" x14ac:dyDescent="0.3">
      <c r="A29" s="692" t="s">
        <v>5</v>
      </c>
      <c r="B29" s="693"/>
      <c r="C29" s="693"/>
      <c r="D29" s="307"/>
      <c r="E29" s="14"/>
      <c r="F29" s="310"/>
      <c r="G29" s="310"/>
      <c r="H29" s="310"/>
      <c r="I29" s="310"/>
      <c r="J29" s="310"/>
      <c r="K29" s="311"/>
    </row>
    <row r="30" spans="1:11" s="44" customFormat="1" ht="20.100000000000001" customHeight="1" x14ac:dyDescent="0.25">
      <c r="A30" s="775" t="s">
        <v>400</v>
      </c>
      <c r="B30" s="773"/>
      <c r="C30" s="799" t="str">
        <f>' Plan de Negocio'!D18</f>
        <v>Quesos Madurados</v>
      </c>
      <c r="D30" s="799"/>
      <c r="E30" s="799"/>
      <c r="F30" s="799"/>
      <c r="G30" s="799"/>
      <c r="H30" s="799"/>
      <c r="I30" s="799"/>
      <c r="J30" s="799"/>
      <c r="K30" s="800"/>
    </row>
    <row r="31" spans="1:11" s="44" customFormat="1" ht="20.100000000000001" customHeight="1" thickBot="1" x14ac:dyDescent="0.3">
      <c r="A31" s="776" t="s">
        <v>330</v>
      </c>
      <c r="B31" s="733"/>
      <c r="C31" s="700" t="str">
        <f>' Plan de Negocio'!D19</f>
        <v>Derivados lácteos</v>
      </c>
      <c r="D31" s="700"/>
      <c r="E31" s="733" t="s">
        <v>399</v>
      </c>
      <c r="F31" s="733"/>
      <c r="G31" s="700" t="str">
        <f>' Plan de Negocio'!D20</f>
        <v>Queso maduro</v>
      </c>
      <c r="H31" s="700"/>
      <c r="I31" s="700"/>
      <c r="J31" s="700"/>
      <c r="K31" s="701"/>
    </row>
    <row r="32" spans="1:11" ht="6" customHeight="1" x14ac:dyDescent="0.2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9"/>
    </row>
    <row r="33" spans="1:11" ht="14.25" customHeight="1" x14ac:dyDescent="0.25">
      <c r="A33" s="734" t="s">
        <v>335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6"/>
    </row>
    <row r="34" spans="1:11" ht="4.5" customHeight="1" thickBot="1" x14ac:dyDescent="0.3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s="44" customFormat="1" ht="23.25" customHeight="1" x14ac:dyDescent="0.25">
      <c r="A35" s="721" t="s">
        <v>133</v>
      </c>
      <c r="B35" s="722"/>
      <c r="C35" s="722"/>
      <c r="D35" s="722"/>
      <c r="E35" s="722"/>
      <c r="F35" s="690" t="s">
        <v>101</v>
      </c>
      <c r="G35" s="691"/>
      <c r="H35" s="690" t="s">
        <v>391</v>
      </c>
      <c r="I35" s="691"/>
      <c r="J35" s="792" t="s">
        <v>390</v>
      </c>
      <c r="K35" s="793"/>
    </row>
    <row r="36" spans="1:11" s="44" customFormat="1" ht="30" customHeight="1" x14ac:dyDescent="0.25">
      <c r="A36" s="712" t="str">
        <f>' Plan de Negocio'!A290</f>
        <v xml:space="preserve">Valor bruto de producción (Ingreso promedio mensual de los productores agropecuarios) </v>
      </c>
      <c r="B36" s="713"/>
      <c r="C36" s="713"/>
      <c r="D36" s="713"/>
      <c r="E36" s="713"/>
      <c r="F36" s="688" t="s">
        <v>331</v>
      </c>
      <c r="G36" s="689"/>
      <c r="H36" s="702">
        <f>(' Plan de Negocio'!G212)/(J37*12)</f>
        <v>0</v>
      </c>
      <c r="I36" s="702"/>
      <c r="J36" s="698">
        <f>' Plan de Negocio'!H290</f>
        <v>0</v>
      </c>
      <c r="K36" s="698"/>
    </row>
    <row r="37" spans="1:11" s="44" customFormat="1" ht="30" customHeight="1" x14ac:dyDescent="0.25">
      <c r="A37" s="712" t="s">
        <v>127</v>
      </c>
      <c r="B37" s="713"/>
      <c r="C37" s="713"/>
      <c r="D37" s="713"/>
      <c r="E37" s="713"/>
      <c r="F37" s="688" t="s">
        <v>105</v>
      </c>
      <c r="G37" s="689"/>
      <c r="H37" s="694">
        <f>J37</f>
        <v>42</v>
      </c>
      <c r="I37" s="694"/>
      <c r="J37" s="699">
        <f>' Plan de Negocio'!H291</f>
        <v>42</v>
      </c>
      <c r="K37" s="699"/>
    </row>
    <row r="38" spans="1:11" s="44" customFormat="1" ht="21.95" hidden="1" customHeight="1" x14ac:dyDescent="0.25">
      <c r="A38" s="801" t="s">
        <v>128</v>
      </c>
      <c r="B38" s="802"/>
      <c r="C38" s="802"/>
      <c r="D38" s="802"/>
      <c r="E38" s="802"/>
      <c r="F38" s="688" t="s">
        <v>105</v>
      </c>
      <c r="G38" s="689"/>
      <c r="H38" s="694"/>
      <c r="I38" s="694"/>
      <c r="J38" s="699">
        <f>' Plan de Negocio'!H292</f>
        <v>42</v>
      </c>
      <c r="K38" s="699"/>
    </row>
    <row r="39" spans="1:11" s="44" customFormat="1" ht="21.95" hidden="1" customHeight="1" x14ac:dyDescent="0.25">
      <c r="A39" s="712" t="s">
        <v>129</v>
      </c>
      <c r="B39" s="713"/>
      <c r="C39" s="713"/>
      <c r="D39" s="713"/>
      <c r="E39" s="713"/>
      <c r="F39" s="688" t="s">
        <v>106</v>
      </c>
      <c r="G39" s="689"/>
      <c r="H39" s="694"/>
      <c r="I39" s="694"/>
      <c r="J39" s="699">
        <f>' Plan de Negocio'!H293</f>
        <v>0</v>
      </c>
      <c r="K39" s="699"/>
    </row>
    <row r="40" spans="1:11" s="44" customFormat="1" ht="21.95" hidden="1" customHeight="1" x14ac:dyDescent="0.25">
      <c r="A40" s="712" t="s">
        <v>130</v>
      </c>
      <c r="B40" s="713"/>
      <c r="C40" s="713"/>
      <c r="D40" s="713"/>
      <c r="E40" s="713"/>
      <c r="F40" s="688" t="s">
        <v>107</v>
      </c>
      <c r="G40" s="689"/>
      <c r="H40" s="694"/>
      <c r="I40" s="694"/>
      <c r="J40" s="699">
        <f>' Plan de Negocio'!H294</f>
        <v>16</v>
      </c>
      <c r="K40" s="699"/>
    </row>
    <row r="41" spans="1:11" s="44" customFormat="1" ht="21.95" hidden="1" customHeight="1" x14ac:dyDescent="0.25">
      <c r="A41" s="712" t="s">
        <v>131</v>
      </c>
      <c r="B41" s="713"/>
      <c r="C41" s="713"/>
      <c r="D41" s="713"/>
      <c r="E41" s="713"/>
      <c r="F41" s="688" t="s">
        <v>108</v>
      </c>
      <c r="G41" s="689"/>
      <c r="H41" s="694"/>
      <c r="I41" s="694"/>
      <c r="J41" s="699">
        <f>' Plan de Negocio'!H295</f>
        <v>0</v>
      </c>
      <c r="K41" s="699"/>
    </row>
    <row r="42" spans="1:11" s="44" customFormat="1" ht="30" customHeight="1" x14ac:dyDescent="0.25">
      <c r="A42" s="712" t="str">
        <f>' Plan de Negocio'!A296</f>
        <v>Ventas totales fortalecidas</v>
      </c>
      <c r="B42" s="713"/>
      <c r="C42" s="713"/>
      <c r="D42" s="713"/>
      <c r="E42" s="713"/>
      <c r="F42" s="794" t="s">
        <v>331</v>
      </c>
      <c r="G42" s="795"/>
      <c r="H42" s="702">
        <f>' Plan de Negocio'!E284+' Plan de Negocio'!H284</f>
        <v>1081000</v>
      </c>
      <c r="I42" s="702"/>
      <c r="J42" s="704">
        <f>' Plan de Negocio'!H296</f>
        <v>0</v>
      </c>
      <c r="K42" s="705"/>
    </row>
    <row r="43" spans="1:11" s="44" customFormat="1" ht="30" customHeight="1" x14ac:dyDescent="0.25">
      <c r="A43" s="712" t="s">
        <v>99</v>
      </c>
      <c r="B43" s="713"/>
      <c r="C43" s="713"/>
      <c r="D43" s="713"/>
      <c r="E43" s="713"/>
      <c r="F43" s="794" t="s">
        <v>331</v>
      </c>
      <c r="G43" s="795"/>
      <c r="H43" s="702">
        <f>' Plan de Negocio'!A284</f>
        <v>1031125</v>
      </c>
      <c r="I43" s="702"/>
      <c r="J43" s="698">
        <f>' Plan de Negocio'!B284</f>
        <v>1042236.27</v>
      </c>
      <c r="K43" s="698"/>
    </row>
    <row r="44" spans="1:11" s="44" customFormat="1" ht="30" customHeight="1" x14ac:dyDescent="0.25">
      <c r="A44" s="712" t="s">
        <v>392</v>
      </c>
      <c r="B44" s="713"/>
      <c r="C44" s="713"/>
      <c r="D44" s="713"/>
      <c r="E44" s="713"/>
      <c r="F44" s="794" t="s">
        <v>102</v>
      </c>
      <c r="G44" s="795"/>
      <c r="H44" s="791" t="e">
        <f>(' Plan de Negocio'!F241*' Plan de Negocio'!F212)/270</f>
        <v>#DIV/0!</v>
      </c>
      <c r="I44" s="791"/>
      <c r="J44" s="703" t="e">
        <f>' Plan de Negocio'!H298</f>
        <v>#DIV/0!</v>
      </c>
      <c r="K44" s="703"/>
    </row>
    <row r="45" spans="1:11" s="44" customFormat="1" ht="30" customHeight="1" x14ac:dyDescent="0.25">
      <c r="A45" s="712" t="s">
        <v>100</v>
      </c>
      <c r="B45" s="713"/>
      <c r="C45" s="713"/>
      <c r="D45" s="713"/>
      <c r="E45" s="713"/>
      <c r="F45" s="794" t="s">
        <v>103</v>
      </c>
      <c r="G45" s="795"/>
      <c r="H45" s="694">
        <f>' Plan de Negocio'!H284</f>
        <v>0</v>
      </c>
      <c r="I45" s="694"/>
      <c r="J45" s="699">
        <f>' Plan de Negocio'!I284</f>
        <v>0</v>
      </c>
      <c r="K45" s="699"/>
    </row>
    <row r="46" spans="1:11" s="44" customFormat="1" ht="12.75" customHeight="1" x14ac:dyDescent="0.25">
      <c r="A46" s="315"/>
      <c r="B46" s="315"/>
      <c r="C46" s="315"/>
      <c r="D46" s="315"/>
      <c r="E46" s="315"/>
      <c r="F46" s="316"/>
      <c r="G46" s="14"/>
      <c r="H46" s="317"/>
      <c r="I46" s="317"/>
      <c r="J46" s="318"/>
      <c r="K46" s="318"/>
    </row>
    <row r="47" spans="1:11" s="44" customFormat="1" ht="27.95" customHeight="1" x14ac:dyDescent="0.25">
      <c r="A47" s="714" t="s">
        <v>393</v>
      </c>
      <c r="B47" s="715"/>
      <c r="C47" s="715"/>
      <c r="D47" s="715"/>
      <c r="E47" s="715"/>
      <c r="F47" s="671" t="s">
        <v>104</v>
      </c>
      <c r="G47" s="672"/>
      <c r="H47" s="706">
        <f>' Plan de Negocio'!E309</f>
        <v>0</v>
      </c>
      <c r="I47" s="707"/>
      <c r="J47" s="707"/>
      <c r="K47" s="708"/>
    </row>
    <row r="48" spans="1:11" s="44" customFormat="1" ht="24.95" hidden="1" customHeight="1" x14ac:dyDescent="0.25">
      <c r="A48" s="716" t="s">
        <v>310</v>
      </c>
      <c r="B48" s="717"/>
      <c r="C48" s="717"/>
      <c r="D48" s="717"/>
      <c r="E48" s="717"/>
      <c r="F48" s="783" t="s">
        <v>331</v>
      </c>
      <c r="G48" s="784"/>
      <c r="H48" s="695"/>
      <c r="I48" s="695"/>
      <c r="J48" s="696">
        <f>' Plan de Negocio'!E310</f>
        <v>-1081000</v>
      </c>
      <c r="K48" s="697"/>
    </row>
    <row r="49" spans="1:11" s="44" customFormat="1" ht="27.95" customHeight="1" x14ac:dyDescent="0.25">
      <c r="A49" s="683" t="s">
        <v>334</v>
      </c>
      <c r="B49" s="684"/>
      <c r="C49" s="684"/>
      <c r="D49" s="684"/>
      <c r="E49" s="684"/>
      <c r="F49" s="671" t="s">
        <v>158</v>
      </c>
      <c r="G49" s="672"/>
      <c r="H49" s="718" t="e">
        <f>' Plan de Negocio'!E311</f>
        <v>#VALUE!</v>
      </c>
      <c r="I49" s="719"/>
      <c r="J49" s="719"/>
      <c r="K49" s="720"/>
    </row>
    <row r="50" spans="1:11" s="44" customFormat="1" ht="27.95" customHeight="1" x14ac:dyDescent="0.25">
      <c r="A50" s="683" t="s">
        <v>85</v>
      </c>
      <c r="B50" s="684"/>
      <c r="C50" s="684"/>
      <c r="D50" s="684"/>
      <c r="E50" s="684"/>
      <c r="F50" s="671" t="s">
        <v>331</v>
      </c>
      <c r="G50" s="672"/>
      <c r="H50" s="709" t="e">
        <f>' Plan de Negocio'!E312</f>
        <v>#DIV/0!</v>
      </c>
      <c r="I50" s="710"/>
      <c r="J50" s="710"/>
      <c r="K50" s="711"/>
    </row>
    <row r="51" spans="1:11" s="44" customFormat="1" ht="27.95" customHeight="1" x14ac:dyDescent="0.25">
      <c r="A51" s="683" t="s">
        <v>312</v>
      </c>
      <c r="B51" s="684"/>
      <c r="C51" s="684"/>
      <c r="D51" s="684"/>
      <c r="E51" s="684"/>
      <c r="F51" s="671">
        <f>'Costo de Producción propuesto'!C17</f>
        <v>0</v>
      </c>
      <c r="G51" s="672"/>
      <c r="H51" s="709" t="e">
        <f>' Plan de Negocio'!E313</f>
        <v>#DIV/0!</v>
      </c>
      <c r="I51" s="710"/>
      <c r="J51" s="710"/>
      <c r="K51" s="711"/>
    </row>
    <row r="52" spans="1:11" s="44" customFormat="1" ht="27.95" customHeight="1" x14ac:dyDescent="0.25">
      <c r="A52" s="683" t="s">
        <v>311</v>
      </c>
      <c r="B52" s="684"/>
      <c r="C52" s="684"/>
      <c r="D52" s="684"/>
      <c r="E52" s="684"/>
      <c r="F52" s="671" t="s">
        <v>104</v>
      </c>
      <c r="G52" s="672"/>
      <c r="H52" s="680" t="e">
        <f>' Plan de Negocio'!E314</f>
        <v>#DIV/0!</v>
      </c>
      <c r="I52" s="681"/>
      <c r="J52" s="681"/>
      <c r="K52" s="682"/>
    </row>
    <row r="53" spans="1:11" ht="6.75" customHeight="1" x14ac:dyDescent="0.25">
      <c r="A53" s="267"/>
      <c r="B53" s="268"/>
      <c r="C53" s="268"/>
      <c r="D53" s="268"/>
      <c r="E53" s="268"/>
      <c r="F53" s="268"/>
      <c r="G53" s="268"/>
      <c r="H53" s="268"/>
      <c r="I53" s="268"/>
      <c r="J53" s="268"/>
      <c r="K53" s="269"/>
    </row>
    <row r="54" spans="1:11" ht="18.75" customHeight="1" x14ac:dyDescent="0.25">
      <c r="A54" s="685" t="s">
        <v>336</v>
      </c>
      <c r="B54" s="686"/>
      <c r="C54" s="686"/>
      <c r="D54" s="686"/>
      <c r="E54" s="686"/>
      <c r="F54" s="686"/>
      <c r="G54" s="686"/>
      <c r="H54" s="686"/>
      <c r="I54" s="686"/>
      <c r="J54" s="686"/>
      <c r="K54" s="687"/>
    </row>
    <row r="55" spans="1:11" ht="105.75" customHeight="1" x14ac:dyDescent="0.25">
      <c r="A55" s="676" t="s">
        <v>494</v>
      </c>
      <c r="B55" s="677"/>
      <c r="C55" s="677"/>
      <c r="D55" s="677"/>
      <c r="E55" s="677"/>
      <c r="F55" s="677"/>
      <c r="G55" s="677"/>
      <c r="H55" s="677"/>
      <c r="I55" s="677"/>
      <c r="J55" s="677"/>
      <c r="K55" s="678"/>
    </row>
    <row r="56" spans="1:11" x14ac:dyDescent="0.25">
      <c r="A56" s="675"/>
      <c r="B56" s="673"/>
      <c r="C56" s="673"/>
      <c r="D56" s="275"/>
      <c r="E56" s="275"/>
      <c r="F56" s="275"/>
      <c r="G56" s="275"/>
      <c r="H56" s="275"/>
      <c r="I56" s="272"/>
      <c r="J56" s="272"/>
      <c r="K56" s="274"/>
    </row>
    <row r="57" spans="1:11" x14ac:dyDescent="0.25">
      <c r="A57" s="271"/>
      <c r="B57" s="272"/>
      <c r="C57" s="273"/>
      <c r="D57" s="273"/>
      <c r="E57" s="273"/>
      <c r="F57" s="273"/>
      <c r="G57" s="273"/>
      <c r="H57" s="273"/>
      <c r="I57" s="272"/>
      <c r="J57" s="272"/>
      <c r="K57" s="274"/>
    </row>
    <row r="58" spans="1:11" x14ac:dyDescent="0.25">
      <c r="A58" s="271"/>
      <c r="B58" s="275"/>
      <c r="C58" s="275"/>
      <c r="D58" s="275"/>
      <c r="E58" s="275"/>
      <c r="F58" s="275"/>
      <c r="G58" s="275"/>
      <c r="H58" s="275"/>
      <c r="I58" s="673"/>
      <c r="J58" s="673"/>
      <c r="K58" s="674"/>
    </row>
    <row r="59" spans="1:11" ht="18.75" customHeight="1" x14ac:dyDescent="0.25">
      <c r="A59" s="276"/>
      <c r="B59" s="679" t="s">
        <v>42</v>
      </c>
      <c r="C59" s="679"/>
      <c r="D59" s="679"/>
      <c r="E59" s="679"/>
      <c r="F59" s="277"/>
      <c r="G59" s="277"/>
      <c r="H59" s="679" t="s">
        <v>43</v>
      </c>
      <c r="I59" s="679"/>
      <c r="J59" s="679"/>
      <c r="K59" s="278"/>
    </row>
    <row r="60" spans="1:11" x14ac:dyDescent="0.25">
      <c r="A60" s="276"/>
      <c r="B60" s="277"/>
      <c r="C60" s="277"/>
      <c r="D60" s="277"/>
      <c r="E60" s="277"/>
      <c r="F60" s="277"/>
      <c r="G60" s="279"/>
      <c r="H60" s="279"/>
      <c r="I60" s="279"/>
      <c r="J60" s="279"/>
      <c r="K60" s="280"/>
    </row>
    <row r="61" spans="1:11" x14ac:dyDescent="0.25">
      <c r="A61" s="271"/>
      <c r="B61" s="281"/>
      <c r="C61" s="281"/>
      <c r="D61" s="281"/>
      <c r="E61" s="281"/>
      <c r="F61" s="281"/>
      <c r="G61" s="273"/>
      <c r="H61" s="273"/>
      <c r="I61" s="673"/>
      <c r="J61" s="673"/>
      <c r="K61" s="674"/>
    </row>
    <row r="62" spans="1:11" x14ac:dyDescent="0.25">
      <c r="A62" s="271"/>
      <c r="B62" s="282"/>
      <c r="C62" s="282"/>
      <c r="D62" s="282"/>
      <c r="E62" s="282"/>
      <c r="F62" s="270"/>
      <c r="G62" s="270"/>
      <c r="H62" s="669"/>
      <c r="I62" s="669"/>
      <c r="J62" s="669"/>
      <c r="K62" s="283"/>
    </row>
    <row r="63" spans="1:11" ht="18.75" customHeight="1" x14ac:dyDescent="0.25">
      <c r="A63" s="284"/>
      <c r="B63" s="668" t="s">
        <v>44</v>
      </c>
      <c r="C63" s="668"/>
      <c r="D63" s="668"/>
      <c r="E63" s="668"/>
      <c r="F63" s="291"/>
      <c r="G63" s="292"/>
      <c r="H63" s="670" t="s">
        <v>92</v>
      </c>
      <c r="I63" s="670"/>
      <c r="J63" s="670"/>
      <c r="K63" s="285"/>
    </row>
  </sheetData>
  <sheetProtection algorithmName="SHA-512" hashValue="xl1p9OLhlONQnFZUKxDs075IiSr7zVwVYKv12RZdI/kD7J+qjO3TRz6J4ji67BWW5GTgdc+RVSZbi8YyT2QHUw==" saltValue="hKzMo4o2t0FzzEVU1Oav7w==" spinCount="100000" sheet="1" objects="1" scenarios="1" formatCells="0" formatRows="0" selectLockedCells="1"/>
  <customSheetViews>
    <customSheetView guid="{2A80C2AF-315E-48B4-AB4B-22B0028E8CB4}" showPageBreaks="1" hiddenRows="1">
      <selection activeCell="J36" sqref="J36:K36"/>
      <pageMargins left="0.7" right="0.7" top="0.75" bottom="0.75" header="0.3" footer="0.3"/>
      <pageSetup paperSize="9" scale="65" orientation="portrait" r:id="rId1"/>
    </customSheetView>
  </customSheetViews>
  <mergeCells count="124">
    <mergeCell ref="A38:E38"/>
    <mergeCell ref="G27:K27"/>
    <mergeCell ref="A26:B26"/>
    <mergeCell ref="E27:F27"/>
    <mergeCell ref="C26:D26"/>
    <mergeCell ref="C27:D27"/>
    <mergeCell ref="E31:F31"/>
    <mergeCell ref="F39:G39"/>
    <mergeCell ref="C23:D23"/>
    <mergeCell ref="A30:B30"/>
    <mergeCell ref="A31:B31"/>
    <mergeCell ref="A27:B27"/>
    <mergeCell ref="F35:G35"/>
    <mergeCell ref="G20:K20"/>
    <mergeCell ref="G21:K21"/>
    <mergeCell ref="G22:K22"/>
    <mergeCell ref="G23:K23"/>
    <mergeCell ref="C21:D21"/>
    <mergeCell ref="C22:D22"/>
    <mergeCell ref="G26:K26"/>
    <mergeCell ref="H37:I37"/>
    <mergeCell ref="J35:K35"/>
    <mergeCell ref="J39:K39"/>
    <mergeCell ref="E21:F21"/>
    <mergeCell ref="E22:F22"/>
    <mergeCell ref="H38:I38"/>
    <mergeCell ref="H39:I39"/>
    <mergeCell ref="E26:F26"/>
    <mergeCell ref="A33:K33"/>
    <mergeCell ref="C30:K30"/>
    <mergeCell ref="J15:K15"/>
    <mergeCell ref="D16:E16"/>
    <mergeCell ref="F16:G16"/>
    <mergeCell ref="H16:I16"/>
    <mergeCell ref="J16:K16"/>
    <mergeCell ref="A20:B20"/>
    <mergeCell ref="A21:B21"/>
    <mergeCell ref="C20:D20"/>
    <mergeCell ref="E20:F20"/>
    <mergeCell ref="A35:E35"/>
    <mergeCell ref="A43:E43"/>
    <mergeCell ref="A44:E44"/>
    <mergeCell ref="A45:E45"/>
    <mergeCell ref="A41:E41"/>
    <mergeCell ref="A36:E36"/>
    <mergeCell ref="A37:E37"/>
    <mergeCell ref="A1:K1"/>
    <mergeCell ref="D10:F10"/>
    <mergeCell ref="J10:K10"/>
    <mergeCell ref="D12:K12"/>
    <mergeCell ref="A25:C25"/>
    <mergeCell ref="E23:F23"/>
    <mergeCell ref="A18:K18"/>
    <mergeCell ref="A3:K3"/>
    <mergeCell ref="A6:C6"/>
    <mergeCell ref="D6:K6"/>
    <mergeCell ref="A14:C16"/>
    <mergeCell ref="A22:B22"/>
    <mergeCell ref="A23:B23"/>
    <mergeCell ref="D14:K14"/>
    <mergeCell ref="D15:E15"/>
    <mergeCell ref="F15:G15"/>
    <mergeCell ref="H15:I15"/>
    <mergeCell ref="J43:K43"/>
    <mergeCell ref="H43:I43"/>
    <mergeCell ref="A50:E50"/>
    <mergeCell ref="A51:E51"/>
    <mergeCell ref="A47:E47"/>
    <mergeCell ref="A48:E48"/>
    <mergeCell ref="H49:K49"/>
    <mergeCell ref="A52:E52"/>
    <mergeCell ref="A39:E39"/>
    <mergeCell ref="A40:E40"/>
    <mergeCell ref="F47:G47"/>
    <mergeCell ref="F48:G48"/>
    <mergeCell ref="H44:I44"/>
    <mergeCell ref="H42:I42"/>
    <mergeCell ref="F40:G40"/>
    <mergeCell ref="F41:G41"/>
    <mergeCell ref="F42:G42"/>
    <mergeCell ref="J40:K40"/>
    <mergeCell ref="F43:G43"/>
    <mergeCell ref="F44:G44"/>
    <mergeCell ref="F45:G45"/>
    <mergeCell ref="H40:I40"/>
    <mergeCell ref="F36:G36"/>
    <mergeCell ref="F37:G37"/>
    <mergeCell ref="F38:G38"/>
    <mergeCell ref="H35:I35"/>
    <mergeCell ref="A29:C29"/>
    <mergeCell ref="H41:I41"/>
    <mergeCell ref="H48:I48"/>
    <mergeCell ref="J48:K48"/>
    <mergeCell ref="F52:G52"/>
    <mergeCell ref="J36:K36"/>
    <mergeCell ref="J37:K37"/>
    <mergeCell ref="J38:K38"/>
    <mergeCell ref="C31:D31"/>
    <mergeCell ref="G31:K31"/>
    <mergeCell ref="H36:I36"/>
    <mergeCell ref="J44:K44"/>
    <mergeCell ref="J45:K45"/>
    <mergeCell ref="J42:K42"/>
    <mergeCell ref="H47:K47"/>
    <mergeCell ref="H45:I45"/>
    <mergeCell ref="J41:K41"/>
    <mergeCell ref="H50:K50"/>
    <mergeCell ref="H51:K51"/>
    <mergeCell ref="A42:E42"/>
    <mergeCell ref="B63:E63"/>
    <mergeCell ref="H62:J62"/>
    <mergeCell ref="H63:J63"/>
    <mergeCell ref="F49:G49"/>
    <mergeCell ref="F50:G50"/>
    <mergeCell ref="F51:G51"/>
    <mergeCell ref="I61:K61"/>
    <mergeCell ref="A56:C56"/>
    <mergeCell ref="I58:K58"/>
    <mergeCell ref="A55:K55"/>
    <mergeCell ref="H59:J59"/>
    <mergeCell ref="H52:K52"/>
    <mergeCell ref="B59:E59"/>
    <mergeCell ref="A49:E49"/>
    <mergeCell ref="A54:K54"/>
  </mergeCells>
  <pageMargins left="0.7" right="0.7" top="0.75" bottom="0.75" header="0.3" footer="0.3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G40"/>
  <sheetViews>
    <sheetView showGridLines="0" tabSelected="1" zoomScale="60" zoomScaleNormal="60" zoomScaleSheetLayoutView="50" workbookViewId="0">
      <selection activeCell="C1" sqref="C1"/>
    </sheetView>
  </sheetViews>
  <sheetFormatPr defaultColWidth="11.42578125" defaultRowHeight="15" x14ac:dyDescent="0.25"/>
  <cols>
    <col min="1" max="1" width="60" customWidth="1"/>
    <col min="2" max="5" width="20.7109375" style="38" customWidth="1"/>
    <col min="6" max="6" width="45.7109375" customWidth="1"/>
    <col min="7" max="7" width="16.140625" customWidth="1"/>
  </cols>
  <sheetData>
    <row r="2" spans="1:7" x14ac:dyDescent="0.25">
      <c r="A2" s="45" t="s">
        <v>305</v>
      </c>
    </row>
    <row r="3" spans="1:7" x14ac:dyDescent="0.25">
      <c r="A3" s="44"/>
    </row>
    <row r="4" spans="1:7" x14ac:dyDescent="0.25">
      <c r="A4" s="44" t="s">
        <v>191</v>
      </c>
    </row>
    <row r="5" spans="1:7" x14ac:dyDescent="0.25">
      <c r="A5" s="44"/>
    </row>
    <row r="6" spans="1:7" x14ac:dyDescent="0.25">
      <c r="A6" s="810" t="s">
        <v>219</v>
      </c>
      <c r="B6" s="810"/>
      <c r="C6" s="810"/>
      <c r="D6" s="810"/>
      <c r="E6" s="810"/>
    </row>
    <row r="7" spans="1:7" ht="5.25" customHeight="1" x14ac:dyDescent="0.25"/>
    <row r="8" spans="1:7" ht="11.25" customHeight="1" thickBot="1" x14ac:dyDescent="0.3">
      <c r="A8" s="39"/>
      <c r="B8" s="40"/>
      <c r="C8" s="40"/>
      <c r="D8" s="40"/>
      <c r="E8" s="40"/>
    </row>
    <row r="9" spans="1:7" ht="33" customHeight="1" thickBot="1" x14ac:dyDescent="0.3">
      <c r="A9" s="534" t="s">
        <v>78</v>
      </c>
      <c r="B9" s="535" t="s">
        <v>59</v>
      </c>
      <c r="C9" s="535" t="s">
        <v>39</v>
      </c>
      <c r="D9" s="535" t="s">
        <v>186</v>
      </c>
      <c r="E9" s="536" t="s">
        <v>55</v>
      </c>
      <c r="F9" s="537" t="s">
        <v>468</v>
      </c>
    </row>
    <row r="10" spans="1:7" ht="24.95" customHeight="1" x14ac:dyDescent="0.25">
      <c r="A10" s="532" t="s">
        <v>501</v>
      </c>
      <c r="B10" s="637" t="s">
        <v>72</v>
      </c>
      <c r="C10" s="638"/>
      <c r="D10" s="639">
        <f>1003900</f>
        <v>1003900</v>
      </c>
      <c r="E10" s="533">
        <f>(C10*D10)</f>
        <v>0</v>
      </c>
      <c r="F10" s="545"/>
    </row>
    <row r="11" spans="1:7" ht="24.95" customHeight="1" x14ac:dyDescent="0.25">
      <c r="A11" s="42" t="s">
        <v>502</v>
      </c>
      <c r="B11" s="36" t="s">
        <v>72</v>
      </c>
      <c r="C11" s="35">
        <v>1</v>
      </c>
      <c r="D11" s="37">
        <v>91125</v>
      </c>
      <c r="E11" s="531">
        <f>(C11*D11)</f>
        <v>91125</v>
      </c>
      <c r="F11" s="546"/>
    </row>
    <row r="12" spans="1:7" ht="24.95" customHeight="1" x14ac:dyDescent="0.25">
      <c r="A12" s="42" t="s">
        <v>508</v>
      </c>
      <c r="B12" s="36" t="s">
        <v>72</v>
      </c>
      <c r="C12" s="35">
        <v>1</v>
      </c>
      <c r="D12" s="37">
        <v>400000</v>
      </c>
      <c r="E12" s="531">
        <f t="shared" ref="E12:E18" si="0">(C12*D12)</f>
        <v>400000</v>
      </c>
      <c r="F12" s="547"/>
    </row>
    <row r="13" spans="1:7" ht="24.95" customHeight="1" x14ac:dyDescent="0.25">
      <c r="A13" s="42" t="s">
        <v>187</v>
      </c>
      <c r="B13" s="36"/>
      <c r="C13" s="35"/>
      <c r="D13" s="37"/>
      <c r="E13" s="531">
        <f t="shared" si="0"/>
        <v>0</v>
      </c>
      <c r="F13" s="547"/>
    </row>
    <row r="14" spans="1:7" ht="24.95" customHeight="1" x14ac:dyDescent="0.25">
      <c r="A14" s="42" t="s">
        <v>184</v>
      </c>
      <c r="B14" s="36"/>
      <c r="C14" s="35"/>
      <c r="D14" s="37"/>
      <c r="E14" s="531">
        <f t="shared" si="0"/>
        <v>0</v>
      </c>
      <c r="F14" s="547"/>
      <c r="G14" s="41"/>
    </row>
    <row r="15" spans="1:7" ht="24.95" customHeight="1" x14ac:dyDescent="0.25">
      <c r="A15" s="42" t="s">
        <v>185</v>
      </c>
      <c r="B15" s="36"/>
      <c r="C15" s="35"/>
      <c r="D15" s="37"/>
      <c r="E15" s="531">
        <f t="shared" si="0"/>
        <v>0</v>
      </c>
      <c r="F15" s="547"/>
    </row>
    <row r="16" spans="1:7" ht="24.95" customHeight="1" x14ac:dyDescent="0.25">
      <c r="A16" s="42" t="s">
        <v>306</v>
      </c>
      <c r="B16" s="36"/>
      <c r="C16" s="35"/>
      <c r="D16" s="37"/>
      <c r="E16" s="531">
        <f t="shared" si="0"/>
        <v>0</v>
      </c>
      <c r="F16" s="547"/>
    </row>
    <row r="17" spans="1:7" ht="24.95" customHeight="1" x14ac:dyDescent="0.25">
      <c r="A17" s="42" t="s">
        <v>329</v>
      </c>
      <c r="B17" s="36" t="s">
        <v>72</v>
      </c>
      <c r="C17" s="35">
        <v>1</v>
      </c>
      <c r="D17" s="37">
        <v>0</v>
      </c>
      <c r="E17" s="531">
        <f t="shared" si="0"/>
        <v>0</v>
      </c>
      <c r="F17" s="547"/>
    </row>
    <row r="18" spans="1:7" ht="24.95" customHeight="1" thickBot="1" x14ac:dyDescent="0.3">
      <c r="A18" s="538" t="s">
        <v>499</v>
      </c>
      <c r="B18" s="539" t="s">
        <v>46</v>
      </c>
      <c r="C18" s="540">
        <f>5000*90</f>
        <v>450000</v>
      </c>
      <c r="D18" s="541">
        <v>1.2</v>
      </c>
      <c r="E18" s="542">
        <f t="shared" si="0"/>
        <v>540000</v>
      </c>
      <c r="F18" s="548"/>
    </row>
    <row r="19" spans="1:7" ht="24.95" customHeight="1" thickBot="1" x14ac:dyDescent="0.3">
      <c r="A19" s="622" t="s">
        <v>41</v>
      </c>
      <c r="B19" s="623"/>
      <c r="C19" s="623"/>
      <c r="D19" s="624"/>
      <c r="E19" s="625">
        <f>SUM(E10:E18)</f>
        <v>1031125</v>
      </c>
      <c r="F19" s="626"/>
    </row>
    <row r="20" spans="1:7" x14ac:dyDescent="0.25">
      <c r="A20" s="43" t="s">
        <v>190</v>
      </c>
    </row>
    <row r="22" spans="1:7" ht="24.95" customHeight="1" x14ac:dyDescent="0.25">
      <c r="A22" s="627"/>
      <c r="B22" s="628"/>
      <c r="C22" s="628" t="s">
        <v>506</v>
      </c>
      <c r="D22" s="628" t="s">
        <v>79</v>
      </c>
      <c r="E22" s="628" t="s">
        <v>505</v>
      </c>
      <c r="F22" s="628" t="s">
        <v>504</v>
      </c>
    </row>
    <row r="23" spans="1:7" ht="24.95" customHeight="1" x14ac:dyDescent="0.25">
      <c r="A23" s="620" t="s">
        <v>503</v>
      </c>
      <c r="B23" s="621" t="s">
        <v>72</v>
      </c>
      <c r="C23" s="636"/>
      <c r="D23" s="621">
        <f>C23*E19/3</f>
        <v>0</v>
      </c>
      <c r="E23" s="621">
        <f>D23</f>
        <v>0</v>
      </c>
      <c r="F23" s="621">
        <f>E23</f>
        <v>0</v>
      </c>
      <c r="G23" s="619"/>
    </row>
    <row r="25" spans="1:7" x14ac:dyDescent="0.25">
      <c r="A25" s="810" t="s">
        <v>303</v>
      </c>
      <c r="B25" s="810"/>
      <c r="C25" s="810"/>
      <c r="D25" s="810"/>
      <c r="E25" s="810"/>
    </row>
    <row r="27" spans="1:7" ht="15.75" thickBot="1" x14ac:dyDescent="0.3">
      <c r="A27" s="39"/>
      <c r="B27" s="40"/>
      <c r="C27" s="40"/>
      <c r="D27" s="40"/>
      <c r="E27" s="40"/>
    </row>
    <row r="28" spans="1:7" ht="33" customHeight="1" x14ac:dyDescent="0.25">
      <c r="A28" s="629" t="s">
        <v>78</v>
      </c>
      <c r="B28" s="630" t="s">
        <v>59</v>
      </c>
      <c r="C28" s="630" t="s">
        <v>39</v>
      </c>
      <c r="D28" s="630" t="s">
        <v>186</v>
      </c>
      <c r="E28" s="631" t="s">
        <v>55</v>
      </c>
    </row>
    <row r="29" spans="1:7" ht="33" customHeight="1" x14ac:dyDescent="0.25">
      <c r="A29" s="640" t="s">
        <v>414</v>
      </c>
      <c r="B29" s="641" t="s">
        <v>307</v>
      </c>
      <c r="C29" s="641"/>
      <c r="D29" s="642">
        <v>3000</v>
      </c>
      <c r="E29" s="260">
        <f>(C29*D29)</f>
        <v>0</v>
      </c>
    </row>
    <row r="30" spans="1:7" ht="33" customHeight="1" x14ac:dyDescent="0.25">
      <c r="A30" s="261" t="s">
        <v>415</v>
      </c>
      <c r="B30" s="35" t="s">
        <v>307</v>
      </c>
      <c r="C30" s="35">
        <v>12</v>
      </c>
      <c r="D30" s="258">
        <v>0</v>
      </c>
      <c r="E30" s="260">
        <f>(C30*D30)</f>
        <v>0</v>
      </c>
    </row>
    <row r="31" spans="1:7" ht="33" customHeight="1" x14ac:dyDescent="0.25">
      <c r="A31" s="261" t="s">
        <v>413</v>
      </c>
      <c r="B31" s="35" t="s">
        <v>307</v>
      </c>
      <c r="C31" s="35">
        <v>12</v>
      </c>
      <c r="D31" s="258">
        <v>2000</v>
      </c>
      <c r="E31" s="260">
        <f>(C31*D31)</f>
        <v>24000</v>
      </c>
    </row>
    <row r="32" spans="1:7" ht="33" customHeight="1" x14ac:dyDescent="0.25">
      <c r="A32" s="261"/>
      <c r="B32" s="35"/>
      <c r="C32" s="35"/>
      <c r="D32" s="258"/>
      <c r="E32" s="260">
        <f>(C32*D32)</f>
        <v>0</v>
      </c>
    </row>
    <row r="33" spans="1:5" ht="33" customHeight="1" x14ac:dyDescent="0.25">
      <c r="A33" s="261"/>
      <c r="B33" s="35"/>
      <c r="C33" s="35"/>
      <c r="D33" s="258"/>
      <c r="E33" s="260">
        <f>(C33*D33)</f>
        <v>0</v>
      </c>
    </row>
    <row r="34" spans="1:5" ht="33" customHeight="1" thickBot="1" x14ac:dyDescent="0.3">
      <c r="A34" s="632" t="s">
        <v>41</v>
      </c>
      <c r="B34" s="633"/>
      <c r="C34" s="633"/>
      <c r="D34" s="634"/>
      <c r="E34" s="635">
        <f>SUM(E29:E33)</f>
        <v>24000</v>
      </c>
    </row>
    <row r="36" spans="1:5" x14ac:dyDescent="0.25">
      <c r="A36" s="810" t="s">
        <v>304</v>
      </c>
      <c r="B36" s="810"/>
      <c r="C36" s="810"/>
      <c r="D36" s="810"/>
      <c r="E36" s="810"/>
    </row>
    <row r="38" spans="1:5" ht="15.75" thickBot="1" x14ac:dyDescent="0.3">
      <c r="A38" s="39"/>
      <c r="B38" s="40"/>
      <c r="C38" s="40"/>
      <c r="D38" s="40"/>
      <c r="E38" s="40"/>
    </row>
    <row r="39" spans="1:5" ht="31.5" customHeight="1" x14ac:dyDescent="0.25">
      <c r="A39" s="629" t="s">
        <v>78</v>
      </c>
      <c r="B39" s="630" t="s">
        <v>59</v>
      </c>
      <c r="C39" s="630" t="s">
        <v>39</v>
      </c>
      <c r="D39" s="630" t="s">
        <v>186</v>
      </c>
      <c r="E39" s="631" t="s">
        <v>55</v>
      </c>
    </row>
    <row r="40" spans="1:5" ht="24.95" customHeight="1" x14ac:dyDescent="0.25">
      <c r="A40" s="257" t="s">
        <v>183</v>
      </c>
      <c r="B40" s="54" t="s">
        <v>72</v>
      </c>
      <c r="C40" s="54">
        <v>1</v>
      </c>
      <c r="D40" s="262">
        <f>'Costo de Producción propuesto'!F95</f>
        <v>9111.27</v>
      </c>
      <c r="E40" s="259">
        <f>(C40*D40)</f>
        <v>9111.27</v>
      </c>
    </row>
  </sheetData>
  <sheetProtection algorithmName="SHA-512" hashValue="S5ZxNzhYv8yZ/4/ABapG+i/YjhxjxkzSk/PbwEVb1C0foXoOGcXDy5rTRZ+PD07grkL6Pa0GKVaY2QgANb5FIQ==" saltValue="8siZTmBZkzUbJEj8rHa4/A==" spinCount="100000" sheet="1" objects="1" scenarios="1" formatRows="0"/>
  <customSheetViews>
    <customSheetView guid="{2A80C2AF-315E-48B4-AB4B-22B0028E8CB4}" scale="70">
      <selection activeCell="C12" sqref="C12"/>
      <pageMargins left="0.7" right="0.7" top="0.75" bottom="0.75" header="0.3" footer="0.3"/>
    </customSheetView>
  </customSheetViews>
  <mergeCells count="3">
    <mergeCell ref="A6:E6"/>
    <mergeCell ref="A25:E25"/>
    <mergeCell ref="A36:E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</sheetPr>
  <dimension ref="A2:K234"/>
  <sheetViews>
    <sheetView zoomScale="70" zoomScaleNormal="70" workbookViewId="0">
      <selection activeCell="D1" sqref="D1"/>
    </sheetView>
  </sheetViews>
  <sheetFormatPr defaultColWidth="11.42578125" defaultRowHeight="15" x14ac:dyDescent="0.25"/>
  <cols>
    <col min="1" max="1" width="8.42578125" style="60" customWidth="1"/>
    <col min="2" max="2" width="55.7109375" style="29" customWidth="1"/>
    <col min="3" max="3" width="13.42578125" style="29" customWidth="1"/>
    <col min="4" max="4" width="15.85546875" style="29" customWidth="1"/>
    <col min="5" max="5" width="14.42578125" style="29" customWidth="1"/>
    <col min="6" max="6" width="14.85546875" style="29" customWidth="1"/>
    <col min="7" max="7" width="11.42578125" style="29" customWidth="1"/>
    <col min="8" max="8" width="14.85546875" style="29" bestFit="1" customWidth="1"/>
    <col min="9" max="10" width="11.42578125" style="29" customWidth="1"/>
    <col min="11" max="11" width="11.7109375" style="29" bestFit="1" customWidth="1"/>
    <col min="12" max="16384" width="11.42578125" style="29"/>
  </cols>
  <sheetData>
    <row r="2" spans="1:6" ht="15" customHeight="1" x14ac:dyDescent="0.25">
      <c r="A2" s="850" t="s">
        <v>488</v>
      </c>
      <c r="B2" s="850"/>
      <c r="C2" s="55"/>
      <c r="D2" s="55"/>
      <c r="E2" s="55"/>
      <c r="F2" s="55"/>
    </row>
    <row r="3" spans="1:6" ht="15.75" thickBot="1" x14ac:dyDescent="0.3">
      <c r="B3" s="55"/>
      <c r="C3" s="55"/>
      <c r="D3" s="55"/>
      <c r="E3" s="55"/>
      <c r="F3" s="61"/>
    </row>
    <row r="4" spans="1:6" ht="22.5" customHeight="1" thickBot="1" x14ac:dyDescent="0.3">
      <c r="A4" s="851" t="s">
        <v>7</v>
      </c>
      <c r="B4" s="852"/>
      <c r="C4" s="852"/>
      <c r="D4" s="853"/>
      <c r="E4" s="854" t="str">
        <f>' Plan de Negocio'!D20</f>
        <v>Queso maduro</v>
      </c>
      <c r="F4" s="855"/>
    </row>
    <row r="5" spans="1:6" ht="15.75" thickBot="1" x14ac:dyDescent="0.3">
      <c r="B5" s="55"/>
      <c r="C5" s="55"/>
      <c r="D5" s="55"/>
      <c r="E5" s="55"/>
      <c r="F5" s="55"/>
    </row>
    <row r="6" spans="1:6" ht="20.100000000000001" customHeight="1" x14ac:dyDescent="0.25">
      <c r="A6" s="73" t="s">
        <v>270</v>
      </c>
      <c r="B6" s="74" t="s">
        <v>271</v>
      </c>
      <c r="C6" s="74"/>
      <c r="D6" s="74"/>
      <c r="E6" s="74"/>
      <c r="F6" s="129"/>
    </row>
    <row r="7" spans="1:6" ht="9.75" customHeight="1" x14ac:dyDescent="0.25">
      <c r="A7" s="130"/>
      <c r="B7" s="131"/>
      <c r="C7" s="131"/>
      <c r="D7" s="131"/>
      <c r="E7" s="131"/>
      <c r="F7" s="132"/>
    </row>
    <row r="8" spans="1:6" ht="23.25" customHeight="1" x14ac:dyDescent="0.25">
      <c r="A8" s="133"/>
      <c r="B8" s="322" t="s">
        <v>78</v>
      </c>
      <c r="C8" s="856" t="s">
        <v>46</v>
      </c>
      <c r="D8" s="856"/>
      <c r="E8" s="857" t="s">
        <v>166</v>
      </c>
      <c r="F8" s="858"/>
    </row>
    <row r="9" spans="1:6" ht="20.100000000000001" customHeight="1" x14ac:dyDescent="0.25">
      <c r="A9" s="135">
        <v>1.1000000000000001</v>
      </c>
      <c r="B9" s="136" t="s">
        <v>178</v>
      </c>
      <c r="C9" s="839"/>
      <c r="D9" s="839"/>
      <c r="E9" s="840">
        <v>1</v>
      </c>
      <c r="F9" s="841"/>
    </row>
    <row r="10" spans="1:6" ht="20.100000000000001" customHeight="1" x14ac:dyDescent="0.25">
      <c r="A10" s="135">
        <v>1.2</v>
      </c>
      <c r="B10" s="136" t="s">
        <v>162</v>
      </c>
      <c r="C10" s="839"/>
      <c r="D10" s="839"/>
      <c r="E10" s="840">
        <v>1</v>
      </c>
      <c r="F10" s="841"/>
    </row>
    <row r="11" spans="1:6" ht="20.100000000000001" customHeight="1" x14ac:dyDescent="0.25">
      <c r="A11" s="135">
        <v>1.3</v>
      </c>
      <c r="B11" s="136" t="s">
        <v>179</v>
      </c>
      <c r="C11" s="842"/>
      <c r="D11" s="842"/>
      <c r="E11" s="840">
        <f>F96*D104/100</f>
        <v>0</v>
      </c>
      <c r="F11" s="841"/>
    </row>
    <row r="12" spans="1:6" ht="20.100000000000001" customHeight="1" x14ac:dyDescent="0.25">
      <c r="A12" s="135">
        <v>1.4</v>
      </c>
      <c r="B12" s="136" t="s">
        <v>189</v>
      </c>
      <c r="C12" s="843">
        <f>C9</f>
        <v>0</v>
      </c>
      <c r="D12" s="843"/>
      <c r="E12" s="844">
        <v>365</v>
      </c>
      <c r="F12" s="845"/>
    </row>
    <row r="13" spans="1:6" ht="20.100000000000001" customHeight="1" thickBot="1" x14ac:dyDescent="0.3">
      <c r="A13" s="137">
        <v>1.5</v>
      </c>
      <c r="B13" s="138" t="s">
        <v>467</v>
      </c>
      <c r="C13" s="846">
        <f>C10</f>
        <v>0</v>
      </c>
      <c r="D13" s="846"/>
      <c r="E13" s="847">
        <f>E12*E11</f>
        <v>0</v>
      </c>
      <c r="F13" s="848"/>
    </row>
    <row r="14" spans="1:6" ht="15.75" thickBot="1" x14ac:dyDescent="0.3">
      <c r="A14" s="139"/>
      <c r="B14" s="140"/>
      <c r="C14" s="141"/>
      <c r="D14" s="141"/>
      <c r="E14" s="142"/>
      <c r="F14" s="142"/>
    </row>
    <row r="15" spans="1:6" ht="20.100000000000001" customHeight="1" x14ac:dyDescent="0.25">
      <c r="A15" s="143" t="s">
        <v>268</v>
      </c>
      <c r="B15" s="144" t="s">
        <v>272</v>
      </c>
      <c r="C15" s="145"/>
      <c r="D15" s="146"/>
      <c r="E15" s="145"/>
      <c r="F15" s="147"/>
    </row>
    <row r="16" spans="1:6" ht="9.75" customHeight="1" x14ac:dyDescent="0.25">
      <c r="A16" s="148"/>
      <c r="B16" s="149"/>
      <c r="C16" s="150"/>
      <c r="D16" s="150"/>
      <c r="E16" s="150"/>
      <c r="F16" s="151"/>
    </row>
    <row r="17" spans="1:8" ht="20.100000000000001" customHeight="1" x14ac:dyDescent="0.25">
      <c r="A17" s="152"/>
      <c r="B17" s="153" t="s">
        <v>78</v>
      </c>
      <c r="C17" s="849" t="s">
        <v>46</v>
      </c>
      <c r="D17" s="849"/>
      <c r="E17" s="153" t="s">
        <v>166</v>
      </c>
      <c r="F17" s="154" t="s">
        <v>167</v>
      </c>
    </row>
    <row r="18" spans="1:8" ht="20.100000000000001" customHeight="1" x14ac:dyDescent="0.25">
      <c r="A18" s="155">
        <v>2.1</v>
      </c>
      <c r="B18" s="156" t="s">
        <v>180</v>
      </c>
      <c r="C18" s="842"/>
      <c r="D18" s="842"/>
      <c r="E18" s="157">
        <v>1</v>
      </c>
      <c r="F18" s="255" t="e">
        <f>F52/E11</f>
        <v>#DIV/0!</v>
      </c>
    </row>
    <row r="19" spans="1:8" ht="20.100000000000001" customHeight="1" x14ac:dyDescent="0.25">
      <c r="A19" s="155">
        <v>2.2000000000000002</v>
      </c>
      <c r="B19" s="156" t="s">
        <v>181</v>
      </c>
      <c r="C19" s="833">
        <f>C18</f>
        <v>0</v>
      </c>
      <c r="D19" s="833"/>
      <c r="E19" s="157">
        <v>1</v>
      </c>
      <c r="F19" s="255" t="e">
        <f>F67/E11</f>
        <v>#DIV/0!</v>
      </c>
    </row>
    <row r="20" spans="1:8" ht="20.100000000000001" customHeight="1" x14ac:dyDescent="0.25">
      <c r="A20" s="155">
        <v>2.2999999999999998</v>
      </c>
      <c r="B20" s="156" t="s">
        <v>182</v>
      </c>
      <c r="C20" s="833">
        <f>C19</f>
        <v>0</v>
      </c>
      <c r="D20" s="833"/>
      <c r="E20" s="157">
        <v>1</v>
      </c>
      <c r="F20" s="255" t="e">
        <f>F80/E11</f>
        <v>#DIV/0!</v>
      </c>
    </row>
    <row r="21" spans="1:8" ht="20.100000000000001" customHeight="1" x14ac:dyDescent="0.25">
      <c r="A21" s="155">
        <v>2.4</v>
      </c>
      <c r="B21" s="156" t="s">
        <v>171</v>
      </c>
      <c r="C21" s="833">
        <f>C20</f>
        <v>0</v>
      </c>
      <c r="D21" s="833"/>
      <c r="E21" s="157">
        <v>1</v>
      </c>
      <c r="F21" s="255" t="e">
        <f>F89/E11</f>
        <v>#DIV/0!</v>
      </c>
    </row>
    <row r="22" spans="1:8" ht="20.100000000000001" customHeight="1" thickBot="1" x14ac:dyDescent="0.3">
      <c r="A22" s="158"/>
      <c r="B22" s="159" t="s">
        <v>172</v>
      </c>
      <c r="C22" s="817"/>
      <c r="D22" s="817"/>
      <c r="E22" s="160">
        <v>1</v>
      </c>
      <c r="F22" s="256" t="e">
        <f>SUM(F18:F21)</f>
        <v>#DIV/0!</v>
      </c>
      <c r="H22" s="33"/>
    </row>
    <row r="23" spans="1:8" ht="9" customHeight="1" thickBot="1" x14ac:dyDescent="0.3">
      <c r="A23" s="139"/>
      <c r="B23" s="131"/>
      <c r="C23" s="161"/>
      <c r="D23" s="161"/>
      <c r="E23" s="162"/>
      <c r="F23" s="162"/>
      <c r="H23" s="33"/>
    </row>
    <row r="24" spans="1:8" ht="20.100000000000001" customHeight="1" x14ac:dyDescent="0.25">
      <c r="A24" s="163" t="s">
        <v>269</v>
      </c>
      <c r="B24" s="125" t="s">
        <v>273</v>
      </c>
      <c r="C24" s="164"/>
      <c r="D24" s="165"/>
      <c r="E24" s="166"/>
      <c r="F24" s="167"/>
      <c r="H24" s="33"/>
    </row>
    <row r="25" spans="1:8" s="59" customFormat="1" ht="11.25" customHeight="1" x14ac:dyDescent="0.25">
      <c r="A25" s="168"/>
      <c r="B25" s="126"/>
      <c r="C25" s="169"/>
      <c r="D25" s="169"/>
      <c r="E25" s="170"/>
      <c r="F25" s="171"/>
      <c r="H25" s="127"/>
    </row>
    <row r="26" spans="1:8" ht="20.100000000000001" customHeight="1" x14ac:dyDescent="0.25">
      <c r="A26" s="152"/>
      <c r="B26" s="321" t="s">
        <v>78</v>
      </c>
      <c r="C26" s="834" t="s">
        <v>46</v>
      </c>
      <c r="D26" s="834"/>
      <c r="E26" s="835" t="s">
        <v>104</v>
      </c>
      <c r="F26" s="836"/>
      <c r="H26" s="33"/>
    </row>
    <row r="27" spans="1:8" ht="20.100000000000001" customHeight="1" x14ac:dyDescent="0.25">
      <c r="A27" s="155">
        <v>3.1</v>
      </c>
      <c r="B27" s="156" t="s">
        <v>163</v>
      </c>
      <c r="C27" s="826" t="s">
        <v>37</v>
      </c>
      <c r="D27" s="826"/>
      <c r="E27" s="837" t="e">
        <f>D52/E11</f>
        <v>#DIV/0!</v>
      </c>
      <c r="F27" s="838"/>
    </row>
    <row r="28" spans="1:8" ht="20.100000000000001" customHeight="1" x14ac:dyDescent="0.25">
      <c r="A28" s="155">
        <v>3.2</v>
      </c>
      <c r="B28" s="156" t="s">
        <v>164</v>
      </c>
      <c r="C28" s="826" t="s">
        <v>158</v>
      </c>
      <c r="D28" s="826"/>
      <c r="E28" s="827"/>
      <c r="F28" s="828"/>
    </row>
    <row r="29" spans="1:8" ht="20.100000000000001" customHeight="1" x14ac:dyDescent="0.25">
      <c r="A29" s="155">
        <v>3.3</v>
      </c>
      <c r="B29" s="156" t="s">
        <v>177</v>
      </c>
      <c r="C29" s="826" t="s">
        <v>158</v>
      </c>
      <c r="D29" s="826"/>
      <c r="E29" s="829">
        <f>100-E28</f>
        <v>100</v>
      </c>
      <c r="F29" s="830"/>
    </row>
    <row r="30" spans="1:8" ht="20.100000000000001" customHeight="1" x14ac:dyDescent="0.25">
      <c r="A30" s="155">
        <v>3.4</v>
      </c>
      <c r="B30" s="156" t="s">
        <v>175</v>
      </c>
      <c r="C30" s="826" t="s">
        <v>37</v>
      </c>
      <c r="D30" s="826"/>
      <c r="E30" s="831" t="e">
        <f>E28*E27/100</f>
        <v>#DIV/0!</v>
      </c>
      <c r="F30" s="832"/>
    </row>
    <row r="31" spans="1:8" ht="20.100000000000001" customHeight="1" thickBot="1" x14ac:dyDescent="0.3">
      <c r="A31" s="173">
        <v>3.5</v>
      </c>
      <c r="B31" s="174" t="s">
        <v>176</v>
      </c>
      <c r="C31" s="817" t="s">
        <v>37</v>
      </c>
      <c r="D31" s="817"/>
      <c r="E31" s="818" t="e">
        <f>E29*E27/100</f>
        <v>#DIV/0!</v>
      </c>
      <c r="F31" s="819"/>
    </row>
    <row r="32" spans="1:8" ht="15.75" thickBot="1" x14ac:dyDescent="0.3">
      <c r="B32" s="62"/>
      <c r="C32" s="62"/>
      <c r="D32" s="62"/>
      <c r="E32" s="66"/>
      <c r="F32" s="62"/>
    </row>
    <row r="33" spans="1:6" ht="20.100000000000001" customHeight="1" x14ac:dyDescent="0.25">
      <c r="A33" s="178" t="s">
        <v>274</v>
      </c>
      <c r="B33" s="820" t="s">
        <v>275</v>
      </c>
      <c r="C33" s="821"/>
      <c r="D33" s="821"/>
      <c r="E33" s="821"/>
      <c r="F33" s="822"/>
    </row>
    <row r="34" spans="1:6" x14ac:dyDescent="0.25">
      <c r="A34" s="75"/>
      <c r="B34" s="64"/>
      <c r="C34" s="64"/>
      <c r="D34" s="64"/>
      <c r="E34" s="65"/>
      <c r="F34" s="67"/>
    </row>
    <row r="35" spans="1:6" x14ac:dyDescent="0.25">
      <c r="A35" s="823"/>
      <c r="B35" s="824" t="s">
        <v>153</v>
      </c>
      <c r="C35" s="824" t="s">
        <v>154</v>
      </c>
      <c r="D35" s="824" t="s">
        <v>155</v>
      </c>
      <c r="E35" s="824" t="s">
        <v>157</v>
      </c>
      <c r="F35" s="825" t="s">
        <v>156</v>
      </c>
    </row>
    <row r="36" spans="1:6" x14ac:dyDescent="0.25">
      <c r="A36" s="823"/>
      <c r="B36" s="824"/>
      <c r="C36" s="824"/>
      <c r="D36" s="824"/>
      <c r="E36" s="824"/>
      <c r="F36" s="825"/>
    </row>
    <row r="37" spans="1:6" x14ac:dyDescent="0.25">
      <c r="A37" s="823"/>
      <c r="B37" s="824"/>
      <c r="C37" s="824"/>
      <c r="D37" s="824"/>
      <c r="E37" s="824"/>
      <c r="F37" s="825"/>
    </row>
    <row r="38" spans="1:6" ht="20.100000000000001" customHeight="1" x14ac:dyDescent="0.25">
      <c r="A38" s="246">
        <v>4.0999999999999996</v>
      </c>
      <c r="B38" s="243" t="s">
        <v>276</v>
      </c>
      <c r="C38" s="244"/>
      <c r="D38" s="243"/>
      <c r="E38" s="243"/>
      <c r="F38" s="247"/>
    </row>
    <row r="39" spans="1:6" ht="20.100000000000001" customHeight="1" x14ac:dyDescent="0.25">
      <c r="A39" s="179" t="s">
        <v>226</v>
      </c>
      <c r="B39" s="175" t="s">
        <v>277</v>
      </c>
      <c r="C39" s="176"/>
      <c r="D39" s="177"/>
      <c r="E39" s="177"/>
      <c r="F39" s="180"/>
    </row>
    <row r="40" spans="1:6" ht="20.100000000000001" customHeight="1" x14ac:dyDescent="0.25">
      <c r="A40" s="72" t="s">
        <v>227</v>
      </c>
      <c r="B40" s="646" t="s">
        <v>417</v>
      </c>
      <c r="C40" s="77" t="s">
        <v>71</v>
      </c>
      <c r="D40" s="647"/>
      <c r="E40" s="648">
        <v>80</v>
      </c>
      <c r="F40" s="80">
        <f>(D40*E40)</f>
        <v>0</v>
      </c>
    </row>
    <row r="41" spans="1:6" ht="20.100000000000001" customHeight="1" x14ac:dyDescent="0.25">
      <c r="A41" s="72" t="s">
        <v>228</v>
      </c>
      <c r="B41" s="187" t="s">
        <v>418</v>
      </c>
      <c r="C41" s="77" t="s">
        <v>71</v>
      </c>
      <c r="D41" s="549">
        <v>2</v>
      </c>
      <c r="E41" s="79">
        <v>80</v>
      </c>
      <c r="F41" s="80">
        <f>(D41*E41)</f>
        <v>160</v>
      </c>
    </row>
    <row r="42" spans="1:6" ht="20.100000000000001" customHeight="1" x14ac:dyDescent="0.25">
      <c r="A42" s="72" t="s">
        <v>229</v>
      </c>
      <c r="B42" s="187" t="s">
        <v>419</v>
      </c>
      <c r="C42" s="77" t="s">
        <v>71</v>
      </c>
      <c r="D42" s="549">
        <v>1</v>
      </c>
      <c r="E42" s="79">
        <v>80</v>
      </c>
      <c r="F42" s="80">
        <f>(D42*E42)</f>
        <v>80</v>
      </c>
    </row>
    <row r="43" spans="1:6" ht="20.100000000000001" customHeight="1" x14ac:dyDescent="0.25">
      <c r="A43" s="72" t="s">
        <v>230</v>
      </c>
      <c r="B43" s="187" t="s">
        <v>420</v>
      </c>
      <c r="C43" s="77" t="s">
        <v>71</v>
      </c>
      <c r="D43" s="549">
        <v>1</v>
      </c>
      <c r="E43" s="79">
        <v>80</v>
      </c>
      <c r="F43" s="80">
        <f t="shared" ref="F43:F51" si="0">(D43*E43)</f>
        <v>80</v>
      </c>
    </row>
    <row r="44" spans="1:6" ht="20.100000000000001" customHeight="1" x14ac:dyDescent="0.25">
      <c r="A44" s="72" t="s">
        <v>231</v>
      </c>
      <c r="B44" s="187" t="s">
        <v>421</v>
      </c>
      <c r="C44" s="77" t="s">
        <v>71</v>
      </c>
      <c r="D44" s="549">
        <v>1</v>
      </c>
      <c r="E44" s="79">
        <v>0</v>
      </c>
      <c r="F44" s="80">
        <f t="shared" si="0"/>
        <v>0</v>
      </c>
    </row>
    <row r="45" spans="1:6" ht="20.100000000000001" customHeight="1" x14ac:dyDescent="0.25">
      <c r="A45" s="72" t="s">
        <v>232</v>
      </c>
      <c r="B45" s="187"/>
      <c r="C45" s="77" t="s">
        <v>71</v>
      </c>
      <c r="D45" s="78"/>
      <c r="E45" s="79"/>
      <c r="F45" s="80">
        <f t="shared" si="0"/>
        <v>0</v>
      </c>
    </row>
    <row r="46" spans="1:6" ht="20.100000000000001" customHeight="1" x14ac:dyDescent="0.25">
      <c r="A46" s="72" t="s">
        <v>233</v>
      </c>
      <c r="B46" s="187"/>
      <c r="C46" s="77" t="s">
        <v>71</v>
      </c>
      <c r="D46" s="78"/>
      <c r="E46" s="79"/>
      <c r="F46" s="80">
        <f t="shared" si="0"/>
        <v>0</v>
      </c>
    </row>
    <row r="47" spans="1:6" ht="20.100000000000001" customHeight="1" x14ac:dyDescent="0.25">
      <c r="A47" s="72" t="s">
        <v>234</v>
      </c>
      <c r="B47" s="187"/>
      <c r="C47" s="77" t="s">
        <v>71</v>
      </c>
      <c r="D47" s="78"/>
      <c r="E47" s="79"/>
      <c r="F47" s="80">
        <f t="shared" si="0"/>
        <v>0</v>
      </c>
    </row>
    <row r="48" spans="1:6" ht="20.100000000000001" customHeight="1" x14ac:dyDescent="0.25">
      <c r="A48" s="72" t="s">
        <v>235</v>
      </c>
      <c r="B48" s="187"/>
      <c r="C48" s="77" t="s">
        <v>71</v>
      </c>
      <c r="D48" s="78"/>
      <c r="E48" s="79"/>
      <c r="F48" s="80">
        <f t="shared" si="0"/>
        <v>0</v>
      </c>
    </row>
    <row r="49" spans="1:11" ht="20.100000000000001" customHeight="1" x14ac:dyDescent="0.25">
      <c r="A49" s="72" t="s">
        <v>236</v>
      </c>
      <c r="B49" s="187"/>
      <c r="C49" s="77" t="s">
        <v>71</v>
      </c>
      <c r="D49" s="78"/>
      <c r="E49" s="79"/>
      <c r="F49" s="80">
        <f t="shared" si="0"/>
        <v>0</v>
      </c>
    </row>
    <row r="50" spans="1:11" ht="20.100000000000001" customHeight="1" x14ac:dyDescent="0.25">
      <c r="A50" s="72" t="s">
        <v>237</v>
      </c>
      <c r="B50" s="187"/>
      <c r="C50" s="77" t="s">
        <v>71</v>
      </c>
      <c r="D50" s="78"/>
      <c r="E50" s="79"/>
      <c r="F50" s="80">
        <f t="shared" si="0"/>
        <v>0</v>
      </c>
    </row>
    <row r="51" spans="1:11" ht="20.100000000000001" customHeight="1" x14ac:dyDescent="0.25">
      <c r="A51" s="72" t="s">
        <v>238</v>
      </c>
      <c r="B51" s="187"/>
      <c r="C51" s="77" t="s">
        <v>71</v>
      </c>
      <c r="D51" s="78"/>
      <c r="E51" s="79"/>
      <c r="F51" s="80">
        <f t="shared" si="0"/>
        <v>0</v>
      </c>
    </row>
    <row r="52" spans="1:11" ht="20.100000000000001" customHeight="1" x14ac:dyDescent="0.25">
      <c r="A52" s="229"/>
      <c r="B52" s="188" t="s">
        <v>280</v>
      </c>
      <c r="C52" s="321"/>
      <c r="D52" s="181">
        <f>SUM(D40:D51)</f>
        <v>5</v>
      </c>
      <c r="E52" s="182">
        <f>AVERAGE(E40:E51)</f>
        <v>64</v>
      </c>
      <c r="F52" s="230">
        <f>SUM(F40:F51)</f>
        <v>320</v>
      </c>
      <c r="H52" s="33"/>
    </row>
    <row r="53" spans="1:11" ht="9.75" customHeight="1" x14ac:dyDescent="0.25">
      <c r="A53" s="75"/>
      <c r="B53" s="63"/>
      <c r="C53" s="68"/>
      <c r="D53" s="63"/>
      <c r="E53" s="69"/>
      <c r="F53" s="70"/>
    </row>
    <row r="54" spans="1:11" ht="20.100000000000001" customHeight="1" x14ac:dyDescent="0.25">
      <c r="A54" s="231" t="s">
        <v>239</v>
      </c>
      <c r="B54" s="184" t="s">
        <v>278</v>
      </c>
      <c r="C54" s="185"/>
      <c r="D54" s="183"/>
      <c r="E54" s="183"/>
      <c r="F54" s="232"/>
    </row>
    <row r="55" spans="1:11" ht="20.100000000000001" customHeight="1" x14ac:dyDescent="0.25">
      <c r="A55" s="72" t="s">
        <v>240</v>
      </c>
      <c r="B55" s="643" t="s">
        <v>416</v>
      </c>
      <c r="C55" s="644"/>
      <c r="D55" s="644">
        <v>5000</v>
      </c>
      <c r="E55" s="645">
        <v>1.2</v>
      </c>
      <c r="F55" s="83">
        <f>D55*E55</f>
        <v>6000</v>
      </c>
    </row>
    <row r="56" spans="1:11" ht="20.100000000000001" customHeight="1" x14ac:dyDescent="0.25">
      <c r="A56" s="72" t="s">
        <v>241</v>
      </c>
      <c r="B56" s="186" t="s">
        <v>500</v>
      </c>
      <c r="C56" s="81" t="s">
        <v>72</v>
      </c>
      <c r="D56" s="84">
        <v>1</v>
      </c>
      <c r="E56" s="85">
        <v>250</v>
      </c>
      <c r="F56" s="86">
        <f t="shared" ref="F56:F66" si="1">D56*E56</f>
        <v>250</v>
      </c>
    </row>
    <row r="57" spans="1:11" ht="20.100000000000001" customHeight="1" x14ac:dyDescent="0.25">
      <c r="A57" s="72" t="s">
        <v>242</v>
      </c>
      <c r="B57" s="186" t="s">
        <v>422</v>
      </c>
      <c r="C57" s="81" t="s">
        <v>72</v>
      </c>
      <c r="D57" s="84">
        <v>1</v>
      </c>
      <c r="E57" s="85">
        <v>600</v>
      </c>
      <c r="F57" s="86">
        <f t="shared" si="1"/>
        <v>600</v>
      </c>
    </row>
    <row r="58" spans="1:11" ht="20.100000000000001" customHeight="1" x14ac:dyDescent="0.25">
      <c r="A58" s="72" t="s">
        <v>243</v>
      </c>
      <c r="B58" s="186" t="s">
        <v>188</v>
      </c>
      <c r="C58" s="81" t="s">
        <v>72</v>
      </c>
      <c r="D58" s="84">
        <v>1</v>
      </c>
      <c r="E58" s="85">
        <v>600</v>
      </c>
      <c r="F58" s="86">
        <f t="shared" si="1"/>
        <v>600</v>
      </c>
      <c r="K58" s="31"/>
    </row>
    <row r="59" spans="1:11" ht="20.100000000000001" customHeight="1" x14ac:dyDescent="0.25">
      <c r="A59" s="72" t="s">
        <v>244</v>
      </c>
      <c r="B59" s="186"/>
      <c r="C59" s="81"/>
      <c r="D59" s="84"/>
      <c r="E59" s="85"/>
      <c r="F59" s="86">
        <f t="shared" si="1"/>
        <v>0</v>
      </c>
    </row>
    <row r="60" spans="1:11" ht="20.100000000000001" customHeight="1" x14ac:dyDescent="0.25">
      <c r="A60" s="72" t="s">
        <v>245</v>
      </c>
      <c r="B60" s="186"/>
      <c r="C60" s="87"/>
      <c r="D60" s="84"/>
      <c r="E60" s="85"/>
      <c r="F60" s="86">
        <f t="shared" si="1"/>
        <v>0</v>
      </c>
    </row>
    <row r="61" spans="1:11" ht="20.100000000000001" customHeight="1" x14ac:dyDescent="0.25">
      <c r="A61" s="72" t="s">
        <v>246</v>
      </c>
      <c r="B61" s="186"/>
      <c r="C61" s="81"/>
      <c r="D61" s="84"/>
      <c r="E61" s="85"/>
      <c r="F61" s="86">
        <f t="shared" si="1"/>
        <v>0</v>
      </c>
    </row>
    <row r="62" spans="1:11" ht="20.100000000000001" customHeight="1" x14ac:dyDescent="0.25">
      <c r="A62" s="72" t="s">
        <v>247</v>
      </c>
      <c r="B62" s="186"/>
      <c r="C62" s="81"/>
      <c r="D62" s="84"/>
      <c r="E62" s="85"/>
      <c r="F62" s="86">
        <f t="shared" si="1"/>
        <v>0</v>
      </c>
    </row>
    <row r="63" spans="1:11" ht="20.100000000000001" customHeight="1" x14ac:dyDescent="0.25">
      <c r="A63" s="72" t="s">
        <v>248</v>
      </c>
      <c r="B63" s="186"/>
      <c r="C63" s="81"/>
      <c r="D63" s="84"/>
      <c r="E63" s="85"/>
      <c r="F63" s="86">
        <f t="shared" si="1"/>
        <v>0</v>
      </c>
    </row>
    <row r="64" spans="1:11" ht="20.100000000000001" customHeight="1" x14ac:dyDescent="0.25">
      <c r="A64" s="72" t="s">
        <v>249</v>
      </c>
      <c r="B64" s="186"/>
      <c r="C64" s="81"/>
      <c r="D64" s="84"/>
      <c r="E64" s="85"/>
      <c r="F64" s="86">
        <f t="shared" si="1"/>
        <v>0</v>
      </c>
    </row>
    <row r="65" spans="1:6" ht="20.100000000000001" customHeight="1" x14ac:dyDescent="0.25">
      <c r="A65" s="72" t="s">
        <v>250</v>
      </c>
      <c r="B65" s="186"/>
      <c r="C65" s="81"/>
      <c r="D65" s="84"/>
      <c r="E65" s="85"/>
      <c r="F65" s="86">
        <f t="shared" si="1"/>
        <v>0</v>
      </c>
    </row>
    <row r="66" spans="1:6" ht="20.100000000000001" customHeight="1" x14ac:dyDescent="0.25">
      <c r="A66" s="233" t="s">
        <v>251</v>
      </c>
      <c r="B66" s="206"/>
      <c r="C66" s="203"/>
      <c r="D66" s="204"/>
      <c r="E66" s="205"/>
      <c r="F66" s="234">
        <f t="shared" si="1"/>
        <v>0</v>
      </c>
    </row>
    <row r="67" spans="1:6" ht="20.100000000000001" customHeight="1" x14ac:dyDescent="0.25">
      <c r="A67" s="248"/>
      <c r="B67" s="194" t="s">
        <v>281</v>
      </c>
      <c r="C67" s="195"/>
      <c r="D67" s="207"/>
      <c r="E67" s="208"/>
      <c r="F67" s="249">
        <f>SUM(F55:F66)</f>
        <v>7450</v>
      </c>
    </row>
    <row r="68" spans="1:6" ht="13.5" customHeight="1" x14ac:dyDescent="0.25">
      <c r="A68" s="75"/>
      <c r="B68" s="89"/>
      <c r="C68" s="88"/>
      <c r="D68" s="89"/>
      <c r="E68" s="89"/>
      <c r="F68" s="90"/>
    </row>
    <row r="69" spans="1:6" ht="20.100000000000001" customHeight="1" x14ac:dyDescent="0.25">
      <c r="A69" s="235" t="s">
        <v>252</v>
      </c>
      <c r="B69" s="189" t="s">
        <v>279</v>
      </c>
      <c r="C69" s="185"/>
      <c r="D69" s="183"/>
      <c r="E69" s="183"/>
      <c r="F69" s="232"/>
    </row>
    <row r="70" spans="1:6" ht="20.100000000000001" customHeight="1" x14ac:dyDescent="0.25">
      <c r="A70" s="72" t="s">
        <v>253</v>
      </c>
      <c r="B70" s="190" t="s">
        <v>302</v>
      </c>
      <c r="C70" s="76" t="s">
        <v>72</v>
      </c>
      <c r="D70" s="76">
        <v>1</v>
      </c>
      <c r="E70" s="91">
        <f>0.02*(F52+F67)</f>
        <v>155.4</v>
      </c>
      <c r="F70" s="92">
        <f>E70*D70</f>
        <v>155.4</v>
      </c>
    </row>
    <row r="71" spans="1:6" ht="20.100000000000001" customHeight="1" x14ac:dyDescent="0.25">
      <c r="A71" s="72" t="s">
        <v>254</v>
      </c>
      <c r="B71" s="186" t="s">
        <v>423</v>
      </c>
      <c r="C71" s="81" t="s">
        <v>72</v>
      </c>
      <c r="D71" s="81">
        <v>1</v>
      </c>
      <c r="E71" s="82">
        <v>11</v>
      </c>
      <c r="F71" s="92">
        <f>E71*D71</f>
        <v>11</v>
      </c>
    </row>
    <row r="72" spans="1:6" ht="20.100000000000001" customHeight="1" x14ac:dyDescent="0.25">
      <c r="A72" s="72" t="s">
        <v>255</v>
      </c>
      <c r="B72" s="186" t="s">
        <v>417</v>
      </c>
      <c r="C72" s="81" t="s">
        <v>72</v>
      </c>
      <c r="D72" s="81">
        <v>1</v>
      </c>
      <c r="E72" s="82">
        <v>90</v>
      </c>
      <c r="F72" s="92">
        <f>E72*D72</f>
        <v>90</v>
      </c>
    </row>
    <row r="73" spans="1:6" ht="20.100000000000001" customHeight="1" x14ac:dyDescent="0.25">
      <c r="A73" s="72" t="s">
        <v>256</v>
      </c>
      <c r="B73" s="206" t="s">
        <v>419</v>
      </c>
      <c r="C73" s="203" t="s">
        <v>72</v>
      </c>
      <c r="D73" s="203">
        <v>1</v>
      </c>
      <c r="E73" s="209">
        <v>27</v>
      </c>
      <c r="F73" s="92">
        <f t="shared" ref="F73:F79" si="2">E73*D73</f>
        <v>27</v>
      </c>
    </row>
    <row r="74" spans="1:6" ht="20.100000000000001" customHeight="1" x14ac:dyDescent="0.25">
      <c r="A74" s="72" t="s">
        <v>424</v>
      </c>
      <c r="B74" s="206" t="s">
        <v>428</v>
      </c>
      <c r="C74" s="203" t="s">
        <v>72</v>
      </c>
      <c r="D74" s="203">
        <v>1</v>
      </c>
      <c r="E74" s="209">
        <v>3</v>
      </c>
      <c r="F74" s="92">
        <f t="shared" si="2"/>
        <v>3</v>
      </c>
    </row>
    <row r="75" spans="1:6" ht="20.100000000000001" customHeight="1" x14ac:dyDescent="0.25">
      <c r="A75" s="72" t="s">
        <v>425</v>
      </c>
      <c r="B75" s="206" t="s">
        <v>432</v>
      </c>
      <c r="C75" s="203" t="s">
        <v>72</v>
      </c>
      <c r="D75" s="203">
        <v>1</v>
      </c>
      <c r="E75" s="209">
        <v>221</v>
      </c>
      <c r="F75" s="92">
        <f t="shared" si="2"/>
        <v>221</v>
      </c>
    </row>
    <row r="76" spans="1:6" ht="20.100000000000001" customHeight="1" x14ac:dyDescent="0.25">
      <c r="A76" s="72" t="s">
        <v>426</v>
      </c>
      <c r="B76" s="206" t="s">
        <v>431</v>
      </c>
      <c r="C76" s="203" t="s">
        <v>72</v>
      </c>
      <c r="D76" s="203">
        <v>1</v>
      </c>
      <c r="E76" s="209">
        <f>12000/30</f>
        <v>400</v>
      </c>
      <c r="F76" s="92">
        <f t="shared" si="2"/>
        <v>400</v>
      </c>
    </row>
    <row r="77" spans="1:6" ht="20.100000000000001" customHeight="1" x14ac:dyDescent="0.25">
      <c r="A77" s="72" t="s">
        <v>427</v>
      </c>
      <c r="B77" s="206"/>
      <c r="C77" s="203"/>
      <c r="D77" s="203"/>
      <c r="E77" s="209"/>
      <c r="F77" s="92">
        <f t="shared" si="2"/>
        <v>0</v>
      </c>
    </row>
    <row r="78" spans="1:6" ht="20.100000000000001" customHeight="1" x14ac:dyDescent="0.25">
      <c r="A78" s="72" t="s">
        <v>429</v>
      </c>
      <c r="B78" s="206"/>
      <c r="C78" s="203"/>
      <c r="D78" s="203"/>
      <c r="E78" s="209"/>
      <c r="F78" s="92">
        <f t="shared" si="2"/>
        <v>0</v>
      </c>
    </row>
    <row r="79" spans="1:6" ht="20.100000000000001" customHeight="1" x14ac:dyDescent="0.25">
      <c r="A79" s="72" t="s">
        <v>430</v>
      </c>
      <c r="B79" s="206"/>
      <c r="C79" s="203"/>
      <c r="D79" s="203"/>
      <c r="E79" s="209"/>
      <c r="F79" s="92">
        <f t="shared" si="2"/>
        <v>0</v>
      </c>
    </row>
    <row r="80" spans="1:6" ht="20.100000000000001" customHeight="1" x14ac:dyDescent="0.25">
      <c r="A80" s="250"/>
      <c r="B80" s="245" t="s">
        <v>286</v>
      </c>
      <c r="C80" s="210"/>
      <c r="D80" s="210"/>
      <c r="E80" s="211"/>
      <c r="F80" s="249">
        <f>SUM(F70:F79)</f>
        <v>907.4</v>
      </c>
    </row>
    <row r="81" spans="1:11" ht="12.75" customHeight="1" x14ac:dyDescent="0.25">
      <c r="A81" s="75"/>
      <c r="B81" s="191"/>
      <c r="C81" s="88"/>
      <c r="D81" s="89"/>
      <c r="E81" s="89"/>
      <c r="F81" s="93"/>
    </row>
    <row r="82" spans="1:11" ht="20.100000000000001" customHeight="1" x14ac:dyDescent="0.25">
      <c r="A82" s="236"/>
      <c r="B82" s="196" t="s">
        <v>173</v>
      </c>
      <c r="C82" s="197"/>
      <c r="D82" s="196"/>
      <c r="E82" s="196"/>
      <c r="F82" s="237">
        <f>(F52+F67+F80)</f>
        <v>8677.4</v>
      </c>
    </row>
    <row r="83" spans="1:11" ht="14.25" customHeight="1" x14ac:dyDescent="0.25">
      <c r="A83" s="75"/>
      <c r="B83" s="89"/>
      <c r="C83" s="88"/>
      <c r="D83" s="89"/>
      <c r="E83" s="89"/>
      <c r="F83" s="90"/>
    </row>
    <row r="84" spans="1:11" ht="20.100000000000001" customHeight="1" x14ac:dyDescent="0.25">
      <c r="A84" s="238" t="s">
        <v>257</v>
      </c>
      <c r="B84" s="198" t="s">
        <v>282</v>
      </c>
      <c r="C84" s="199"/>
      <c r="D84" s="200"/>
      <c r="E84" s="200"/>
      <c r="F84" s="239"/>
      <c r="J84" s="33"/>
    </row>
    <row r="85" spans="1:11" ht="20.100000000000001" customHeight="1" x14ac:dyDescent="0.25">
      <c r="A85" s="227" t="s">
        <v>258</v>
      </c>
      <c r="B85" s="201" t="s">
        <v>283</v>
      </c>
      <c r="C85" s="76" t="s">
        <v>72</v>
      </c>
      <c r="D85" s="98">
        <v>1</v>
      </c>
      <c r="E85" s="554">
        <v>0</v>
      </c>
      <c r="F85" s="99">
        <f>+D85*E85</f>
        <v>0</v>
      </c>
      <c r="H85" s="618"/>
    </row>
    <row r="86" spans="1:11" ht="20.100000000000001" customHeight="1" x14ac:dyDescent="0.25">
      <c r="A86" s="227" t="s">
        <v>259</v>
      </c>
      <c r="B86" s="201" t="s">
        <v>284</v>
      </c>
      <c r="C86" s="76" t="s">
        <v>72</v>
      </c>
      <c r="D86" s="98">
        <v>1</v>
      </c>
      <c r="E86" s="100">
        <f>F82*0.03</f>
        <v>260.322</v>
      </c>
      <c r="F86" s="99">
        <f>+D86*E86</f>
        <v>260.322</v>
      </c>
      <c r="H86" s="55"/>
    </row>
    <row r="87" spans="1:11" ht="20.100000000000001" customHeight="1" x14ac:dyDescent="0.25">
      <c r="A87" s="227" t="s">
        <v>260</v>
      </c>
      <c r="B87" s="201" t="s">
        <v>285</v>
      </c>
      <c r="C87" s="76" t="s">
        <v>72</v>
      </c>
      <c r="D87" s="98">
        <v>1</v>
      </c>
      <c r="E87" s="100">
        <f>F82*0.02</f>
        <v>173.548</v>
      </c>
      <c r="F87" s="99">
        <f>+D87*E87</f>
        <v>173.548</v>
      </c>
      <c r="H87" s="55"/>
    </row>
    <row r="88" spans="1:11" ht="13.5" customHeight="1" x14ac:dyDescent="0.25">
      <c r="A88" s="75"/>
      <c r="B88" s="89"/>
      <c r="C88" s="88"/>
      <c r="D88" s="101"/>
      <c r="E88" s="102"/>
      <c r="F88" s="103"/>
    </row>
    <row r="89" spans="1:11" ht="20.100000000000001" customHeight="1" x14ac:dyDescent="0.25">
      <c r="A89" s="240"/>
      <c r="B89" s="192" t="s">
        <v>174</v>
      </c>
      <c r="C89" s="193"/>
      <c r="D89" s="192"/>
      <c r="E89" s="202"/>
      <c r="F89" s="241">
        <f>SUM(F85:F87)</f>
        <v>433.87</v>
      </c>
      <c r="H89" s="56"/>
      <c r="I89" s="33"/>
    </row>
    <row r="90" spans="1:11" ht="13.5" customHeight="1" x14ac:dyDescent="0.25">
      <c r="A90" s="75"/>
      <c r="B90" s="89"/>
      <c r="C90" s="88"/>
      <c r="D90" s="89"/>
      <c r="E90" s="89"/>
      <c r="F90" s="90"/>
    </row>
    <row r="91" spans="1:11" ht="20.100000000000001" customHeight="1" thickBot="1" x14ac:dyDescent="0.3">
      <c r="A91" s="242">
        <v>4.3</v>
      </c>
      <c r="B91" s="212" t="s">
        <v>287</v>
      </c>
      <c r="C91" s="213"/>
      <c r="D91" s="214"/>
      <c r="E91" s="214"/>
      <c r="F91" s="215">
        <f>(F82+F89)</f>
        <v>9111.27</v>
      </c>
      <c r="H91" s="33"/>
      <c r="I91" s="33"/>
      <c r="J91" s="33"/>
    </row>
    <row r="92" spans="1:11" ht="20.100000000000001" customHeight="1" thickBot="1" x14ac:dyDescent="0.3">
      <c r="B92" s="104"/>
      <c r="C92" s="105"/>
      <c r="D92" s="104"/>
      <c r="E92" s="104"/>
      <c r="F92" s="104"/>
      <c r="I92" s="33"/>
      <c r="J92" s="33"/>
    </row>
    <row r="93" spans="1:11" ht="20.100000000000001" customHeight="1" x14ac:dyDescent="0.25">
      <c r="A93" s="94" t="s">
        <v>261</v>
      </c>
      <c r="B93" s="94" t="s">
        <v>288</v>
      </c>
      <c r="C93" s="95"/>
      <c r="D93" s="96"/>
      <c r="E93" s="96"/>
      <c r="F93" s="97"/>
    </row>
    <row r="94" spans="1:11" ht="9.75" customHeight="1" x14ac:dyDescent="0.25">
      <c r="A94" s="75"/>
      <c r="B94" s="106"/>
      <c r="C94" s="107"/>
      <c r="D94" s="108"/>
      <c r="E94" s="108"/>
      <c r="F94" s="226"/>
    </row>
    <row r="95" spans="1:11" ht="20.100000000000001" customHeight="1" x14ac:dyDescent="0.25">
      <c r="A95" s="219"/>
      <c r="B95" s="57" t="s">
        <v>78</v>
      </c>
      <c r="C95" s="195"/>
      <c r="D95" s="58"/>
      <c r="E95" s="58" t="s">
        <v>46</v>
      </c>
      <c r="F95" s="220" t="s">
        <v>104</v>
      </c>
    </row>
    <row r="96" spans="1:11" ht="20.100000000000001" customHeight="1" x14ac:dyDescent="0.25">
      <c r="A96" s="227" t="s">
        <v>262</v>
      </c>
      <c r="B96" s="812" t="s">
        <v>299</v>
      </c>
      <c r="C96" s="812"/>
      <c r="D96" s="812"/>
      <c r="E96" s="109">
        <f>C11</f>
        <v>0</v>
      </c>
      <c r="F96" s="650"/>
      <c r="H96" s="30"/>
      <c r="J96" s="55"/>
      <c r="K96" s="30"/>
    </row>
    <row r="97" spans="1:11" ht="20.100000000000001" customHeight="1" x14ac:dyDescent="0.25">
      <c r="A97" s="227" t="s">
        <v>263</v>
      </c>
      <c r="B97" s="813" t="s">
        <v>300</v>
      </c>
      <c r="C97" s="813"/>
      <c r="D97" s="813"/>
      <c r="E97" s="109">
        <f>C21</f>
        <v>0</v>
      </c>
      <c r="F97" s="650"/>
      <c r="J97" s="55"/>
      <c r="K97" s="33"/>
    </row>
    <row r="98" spans="1:11" ht="20.100000000000001" customHeight="1" thickBot="1" x14ac:dyDescent="0.3">
      <c r="A98" s="228" t="s">
        <v>264</v>
      </c>
      <c r="B98" s="814" t="s">
        <v>291</v>
      </c>
      <c r="C98" s="814"/>
      <c r="D98" s="814"/>
      <c r="E98" s="110" t="s">
        <v>220</v>
      </c>
      <c r="F98" s="111">
        <f>(F96*F97)</f>
        <v>0</v>
      </c>
      <c r="H98" s="31"/>
      <c r="J98" s="55"/>
      <c r="K98" s="32"/>
    </row>
    <row r="99" spans="1:11" ht="20.100000000000001" customHeight="1" thickBot="1" x14ac:dyDescent="0.3">
      <c r="B99" s="104"/>
      <c r="C99" s="105"/>
      <c r="D99" s="104"/>
      <c r="E99" s="104"/>
      <c r="F99" s="112"/>
    </row>
    <row r="100" spans="1:11" ht="20.100000000000001" customHeight="1" x14ac:dyDescent="0.25">
      <c r="A100" s="113" t="s">
        <v>265</v>
      </c>
      <c r="B100" s="113" t="s">
        <v>289</v>
      </c>
      <c r="C100" s="114"/>
      <c r="D100" s="115"/>
      <c r="E100" s="115"/>
      <c r="F100" s="116"/>
      <c r="K100" s="33"/>
    </row>
    <row r="101" spans="1:11" s="53" customFormat="1" ht="9" customHeight="1" x14ac:dyDescent="0.25">
      <c r="A101" s="217"/>
      <c r="B101" s="117"/>
      <c r="C101" s="118"/>
      <c r="D101" s="119"/>
      <c r="E101" s="119"/>
      <c r="F101" s="218"/>
    </row>
    <row r="102" spans="1:11" ht="20.100000000000001" customHeight="1" x14ac:dyDescent="0.25">
      <c r="A102" s="219"/>
      <c r="B102" s="57" t="s">
        <v>78</v>
      </c>
      <c r="C102" s="252"/>
      <c r="D102" s="197" t="s">
        <v>158</v>
      </c>
      <c r="E102" s="253"/>
      <c r="F102" s="220" t="s">
        <v>215</v>
      </c>
    </row>
    <row r="103" spans="1:11" ht="20.100000000000001" customHeight="1" x14ac:dyDescent="0.25">
      <c r="A103" s="72" t="s">
        <v>266</v>
      </c>
      <c r="B103" s="251" t="s">
        <v>308</v>
      </c>
      <c r="C103" s="551"/>
      <c r="D103" s="649"/>
      <c r="E103" s="553"/>
      <c r="F103" s="120">
        <f>D103*F98/100</f>
        <v>0</v>
      </c>
    </row>
    <row r="104" spans="1:11" ht="20.100000000000001" customHeight="1" x14ac:dyDescent="0.25">
      <c r="A104" s="72">
        <v>6.2</v>
      </c>
      <c r="B104" s="251" t="s">
        <v>309</v>
      </c>
      <c r="C104" s="121"/>
      <c r="D104" s="122">
        <f>100-D103</f>
        <v>100</v>
      </c>
      <c r="E104" s="123"/>
      <c r="F104" s="120">
        <f>D104*F98/100</f>
        <v>0</v>
      </c>
    </row>
    <row r="105" spans="1:11" ht="20.100000000000001" customHeight="1" thickBot="1" x14ac:dyDescent="0.3">
      <c r="A105" s="128">
        <v>6.3</v>
      </c>
      <c r="B105" s="222" t="s">
        <v>301</v>
      </c>
      <c r="C105" s="815"/>
      <c r="D105" s="815"/>
      <c r="E105" s="815"/>
      <c r="F105" s="124">
        <f>(F104-F91)</f>
        <v>-9111.27</v>
      </c>
    </row>
    <row r="106" spans="1:11" ht="20.100000000000001" customHeight="1" thickBot="1" x14ac:dyDescent="0.3">
      <c r="B106" s="104"/>
      <c r="C106" s="105"/>
      <c r="D106" s="104"/>
      <c r="E106" s="104"/>
      <c r="F106" s="112"/>
    </row>
    <row r="107" spans="1:11" ht="20.100000000000001" customHeight="1" x14ac:dyDescent="0.25">
      <c r="A107" s="223" t="s">
        <v>267</v>
      </c>
      <c r="B107" s="94" t="s">
        <v>290</v>
      </c>
      <c r="C107" s="95"/>
      <c r="D107" s="96"/>
      <c r="E107" s="96"/>
      <c r="F107" s="216"/>
    </row>
    <row r="108" spans="1:11" ht="20.100000000000001" customHeight="1" x14ac:dyDescent="0.25">
      <c r="A108" s="72">
        <v>7.1</v>
      </c>
      <c r="B108" s="201" t="s">
        <v>291</v>
      </c>
      <c r="C108" s="816"/>
      <c r="D108" s="816"/>
      <c r="E108" s="816"/>
      <c r="F108" s="221">
        <f>(F98)</f>
        <v>0</v>
      </c>
      <c r="H108" s="33"/>
      <c r="K108" s="32"/>
    </row>
    <row r="109" spans="1:11" ht="20.100000000000001" customHeight="1" x14ac:dyDescent="0.25">
      <c r="A109" s="224">
        <v>7.2</v>
      </c>
      <c r="B109" s="201" t="s">
        <v>292</v>
      </c>
      <c r="C109" s="816"/>
      <c r="D109" s="816"/>
      <c r="E109" s="816"/>
      <c r="F109" s="221">
        <f>(F91)</f>
        <v>9111.27</v>
      </c>
      <c r="H109" s="33"/>
      <c r="K109" s="33"/>
    </row>
    <row r="110" spans="1:11" ht="20.100000000000001" customHeight="1" x14ac:dyDescent="0.25">
      <c r="A110" s="224">
        <v>7.3</v>
      </c>
      <c r="B110" s="201" t="s">
        <v>293</v>
      </c>
      <c r="C110" s="816"/>
      <c r="D110" s="816"/>
      <c r="E110" s="816"/>
      <c r="F110" s="221">
        <f>(F108-F109)</f>
        <v>-9111.27</v>
      </c>
    </row>
    <row r="111" spans="1:11" ht="20.100000000000001" customHeight="1" x14ac:dyDescent="0.25">
      <c r="A111" s="224">
        <v>7.4</v>
      </c>
      <c r="B111" s="201" t="s">
        <v>294</v>
      </c>
      <c r="C111" s="816"/>
      <c r="D111" s="816"/>
      <c r="E111" s="816"/>
      <c r="F111" s="254">
        <f>+F97</f>
        <v>0</v>
      </c>
    </row>
    <row r="112" spans="1:11" ht="20.100000000000001" customHeight="1" x14ac:dyDescent="0.25">
      <c r="A112" s="224">
        <v>7.5</v>
      </c>
      <c r="B112" s="201" t="s">
        <v>295</v>
      </c>
      <c r="C112" s="816"/>
      <c r="D112" s="816"/>
      <c r="E112" s="816"/>
      <c r="F112" s="254" t="e">
        <f>(F91/F96)</f>
        <v>#DIV/0!</v>
      </c>
    </row>
    <row r="113" spans="1:6" ht="20.100000000000001" customHeight="1" x14ac:dyDescent="0.25">
      <c r="A113" s="224">
        <v>7.6</v>
      </c>
      <c r="B113" s="201" t="s">
        <v>296</v>
      </c>
      <c r="C113" s="816"/>
      <c r="D113" s="816"/>
      <c r="E113" s="816"/>
      <c r="F113" s="254" t="e">
        <f>(F111-F112)</f>
        <v>#DIV/0!</v>
      </c>
    </row>
    <row r="114" spans="1:6" ht="20.100000000000001" customHeight="1" x14ac:dyDescent="0.25">
      <c r="A114" s="224">
        <v>7.7</v>
      </c>
      <c r="B114" s="201" t="s">
        <v>297</v>
      </c>
      <c r="C114" s="816"/>
      <c r="D114" s="816"/>
      <c r="E114" s="816"/>
      <c r="F114" s="221">
        <f>(F105)</f>
        <v>-9111.27</v>
      </c>
    </row>
    <row r="115" spans="1:6" ht="20.100000000000001" customHeight="1" thickBot="1" x14ac:dyDescent="0.3">
      <c r="A115" s="225">
        <v>7.8</v>
      </c>
      <c r="B115" s="222" t="s">
        <v>298</v>
      </c>
      <c r="C115" s="811"/>
      <c r="D115" s="811"/>
      <c r="E115" s="811"/>
      <c r="F115" s="124">
        <f>(F114/F109)*100</f>
        <v>-100</v>
      </c>
    </row>
    <row r="116" spans="1:6" x14ac:dyDescent="0.25">
      <c r="B116" s="104"/>
      <c r="C116" s="105"/>
      <c r="D116" s="104"/>
      <c r="E116" s="104"/>
      <c r="F116" s="104"/>
    </row>
    <row r="117" spans="1:6" x14ac:dyDescent="0.25">
      <c r="B117" s="104" t="s">
        <v>159</v>
      </c>
      <c r="C117" s="105"/>
      <c r="D117" s="104"/>
      <c r="E117" s="104"/>
      <c r="F117" s="104"/>
    </row>
    <row r="118" spans="1:6" x14ac:dyDescent="0.25">
      <c r="B118" s="104" t="s">
        <v>160</v>
      </c>
      <c r="C118" s="105"/>
      <c r="D118" s="104"/>
      <c r="E118" s="104"/>
      <c r="F118" s="104"/>
    </row>
    <row r="119" spans="1:6" x14ac:dyDescent="0.25">
      <c r="B119" s="104" t="s">
        <v>161</v>
      </c>
      <c r="C119" s="71"/>
      <c r="D119" s="55"/>
      <c r="E119" s="55"/>
      <c r="F119" s="55"/>
    </row>
    <row r="120" spans="1:6" x14ac:dyDescent="0.25">
      <c r="C120" s="34"/>
    </row>
    <row r="121" spans="1:6" x14ac:dyDescent="0.25">
      <c r="C121" s="34"/>
    </row>
    <row r="122" spans="1:6" x14ac:dyDescent="0.25">
      <c r="C122" s="34"/>
    </row>
    <row r="123" spans="1:6" x14ac:dyDescent="0.25">
      <c r="C123" s="34"/>
    </row>
    <row r="124" spans="1:6" x14ac:dyDescent="0.25">
      <c r="C124" s="34"/>
    </row>
    <row r="125" spans="1:6" x14ac:dyDescent="0.25">
      <c r="C125" s="34"/>
    </row>
    <row r="126" spans="1:6" x14ac:dyDescent="0.25">
      <c r="C126" s="34"/>
    </row>
    <row r="127" spans="1:6" x14ac:dyDescent="0.25">
      <c r="C127" s="34"/>
    </row>
    <row r="128" spans="1:6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  <row r="178" spans="3:3" x14ac:dyDescent="0.25">
      <c r="C178" s="34"/>
    </row>
    <row r="179" spans="3:3" x14ac:dyDescent="0.25">
      <c r="C179" s="34"/>
    </row>
    <row r="180" spans="3:3" x14ac:dyDescent="0.25">
      <c r="C180" s="34"/>
    </row>
    <row r="181" spans="3:3" x14ac:dyDescent="0.25">
      <c r="C181" s="34"/>
    </row>
    <row r="182" spans="3:3" x14ac:dyDescent="0.25">
      <c r="C182" s="34"/>
    </row>
    <row r="183" spans="3:3" x14ac:dyDescent="0.25">
      <c r="C183" s="34"/>
    </row>
    <row r="184" spans="3:3" x14ac:dyDescent="0.25">
      <c r="C184" s="34"/>
    </row>
    <row r="185" spans="3:3" x14ac:dyDescent="0.25">
      <c r="C185" s="34"/>
    </row>
    <row r="186" spans="3:3" x14ac:dyDescent="0.25">
      <c r="C186" s="34"/>
    </row>
    <row r="187" spans="3:3" x14ac:dyDescent="0.25">
      <c r="C187" s="34"/>
    </row>
    <row r="188" spans="3:3" x14ac:dyDescent="0.25">
      <c r="C188" s="34"/>
    </row>
    <row r="189" spans="3:3" x14ac:dyDescent="0.25">
      <c r="C189" s="34"/>
    </row>
    <row r="190" spans="3:3" x14ac:dyDescent="0.25">
      <c r="C190" s="34"/>
    </row>
    <row r="191" spans="3:3" x14ac:dyDescent="0.25">
      <c r="C191" s="34"/>
    </row>
    <row r="192" spans="3:3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</sheetData>
  <sheetProtection algorithmName="SHA-512" hashValue="1vDWODIe48lcih+kg2CuqcqmdW2qn9iqVAOmG7d+HH03fJzRKnIwaT0pKEe44zPOqapf8nEt1byolQ8k7pmPHA==" saltValue="vJJWsI3r/FntpnlAEqwJwg==" spinCount="100000" sheet="1" objects="1" scenarios="1" formatRows="0"/>
  <customSheetViews>
    <customSheetView guid="{2A80C2AF-315E-48B4-AB4B-22B0028E8CB4}" scale="90">
      <selection activeCell="H22" sqref="H22"/>
      <pageMargins left="0.7" right="0.7" top="0.75" bottom="0.75" header="0.3" footer="0.3"/>
      <pageSetup paperSize="9" orientation="portrait" r:id="rId1"/>
    </customSheetView>
  </customSheetViews>
  <mergeCells count="52">
    <mergeCell ref="C9:D9"/>
    <mergeCell ref="E9:F9"/>
    <mergeCell ref="A2:B2"/>
    <mergeCell ref="A4:D4"/>
    <mergeCell ref="E4:F4"/>
    <mergeCell ref="C8:D8"/>
    <mergeCell ref="E8:F8"/>
    <mergeCell ref="C20:D20"/>
    <mergeCell ref="C10:D10"/>
    <mergeCell ref="E10:F10"/>
    <mergeCell ref="C11:D11"/>
    <mergeCell ref="E11:F11"/>
    <mergeCell ref="C12:D12"/>
    <mergeCell ref="E12:F12"/>
    <mergeCell ref="C13:D13"/>
    <mergeCell ref="E13:F13"/>
    <mergeCell ref="C17:D17"/>
    <mergeCell ref="C18:D18"/>
    <mergeCell ref="C19:D19"/>
    <mergeCell ref="C21:D21"/>
    <mergeCell ref="C22:D22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B33:F33"/>
    <mergeCell ref="A35:A37"/>
    <mergeCell ref="B35:B37"/>
    <mergeCell ref="C35:C37"/>
    <mergeCell ref="D35:D37"/>
    <mergeCell ref="E35:E37"/>
    <mergeCell ref="F35:F37"/>
    <mergeCell ref="C115:E115"/>
    <mergeCell ref="B96:D96"/>
    <mergeCell ref="B97:D97"/>
    <mergeCell ref="B98:D98"/>
    <mergeCell ref="C105:E105"/>
    <mergeCell ref="C108:E108"/>
    <mergeCell ref="C109:E109"/>
    <mergeCell ref="C110:E110"/>
    <mergeCell ref="C111:E111"/>
    <mergeCell ref="C112:E112"/>
    <mergeCell ref="C113:E113"/>
    <mergeCell ref="C114:E114"/>
  </mergeCells>
  <conditionalFormatting sqref="F115">
    <cfRule type="cellIs" dxfId="54" priority="1" stopIfTrue="1" operator="greaterThan">
      <formula>11</formula>
    </cfRule>
    <cfRule type="cellIs" dxfId="53" priority="2" stopIfTrue="1" operator="lessThan">
      <formula>12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K238"/>
  <sheetViews>
    <sheetView zoomScale="70" zoomScaleNormal="70" workbookViewId="0">
      <pane ySplit="4" topLeftCell="A5" activePane="bottomLeft" state="frozen"/>
      <selection pane="bottomLeft" activeCell="E16" sqref="E16:F16"/>
    </sheetView>
  </sheetViews>
  <sheetFormatPr defaultColWidth="11.42578125" defaultRowHeight="15" x14ac:dyDescent="0.25"/>
  <cols>
    <col min="1" max="1" width="8.42578125" style="60" customWidth="1"/>
    <col min="2" max="2" width="55.7109375" style="29" customWidth="1"/>
    <col min="3" max="3" width="13.42578125" style="29" customWidth="1"/>
    <col min="4" max="4" width="15.85546875" style="29" customWidth="1"/>
    <col min="5" max="5" width="14.42578125" style="29" customWidth="1"/>
    <col min="6" max="6" width="14.85546875" style="29" customWidth="1"/>
    <col min="7" max="7" width="11.42578125" style="29" customWidth="1"/>
    <col min="8" max="8" width="14.85546875" style="29" bestFit="1" customWidth="1"/>
    <col min="9" max="10" width="11.42578125" style="29" customWidth="1"/>
    <col min="11" max="11" width="11.7109375" style="29" bestFit="1" customWidth="1"/>
    <col min="12" max="16384" width="11.42578125" style="29"/>
  </cols>
  <sheetData>
    <row r="1" spans="1:6" x14ac:dyDescent="0.25">
      <c r="B1" s="862" t="s">
        <v>482</v>
      </c>
      <c r="C1" s="862" t="s">
        <v>483</v>
      </c>
      <c r="D1" s="863"/>
      <c r="E1" s="592"/>
      <c r="F1" s="595"/>
    </row>
    <row r="2" spans="1:6" x14ac:dyDescent="0.25">
      <c r="B2" s="862"/>
      <c r="C2" s="862"/>
      <c r="D2" s="863"/>
      <c r="E2" s="596"/>
      <c r="F2" s="596"/>
    </row>
    <row r="3" spans="1:6" ht="20.100000000000001" customHeight="1" x14ac:dyDescent="0.25">
      <c r="B3" s="591" t="s">
        <v>481</v>
      </c>
      <c r="C3" s="651"/>
      <c r="D3" s="600"/>
      <c r="E3" s="597"/>
      <c r="F3" s="597"/>
    </row>
    <row r="4" spans="1:6" ht="20.100000000000001" customHeight="1" x14ac:dyDescent="0.25">
      <c r="B4" s="591" t="s">
        <v>489</v>
      </c>
      <c r="C4" s="651">
        <v>0.2</v>
      </c>
      <c r="D4" s="601"/>
      <c r="E4" s="597"/>
      <c r="F4" s="597"/>
    </row>
    <row r="5" spans="1:6" x14ac:dyDescent="0.25">
      <c r="B5" s="592"/>
      <c r="C5" s="598"/>
      <c r="D5" s="598"/>
      <c r="E5" s="599"/>
      <c r="F5" s="599"/>
    </row>
    <row r="6" spans="1:6" ht="15" customHeight="1" x14ac:dyDescent="0.25">
      <c r="A6" s="850" t="s">
        <v>487</v>
      </c>
      <c r="B6" s="850"/>
      <c r="C6" s="55"/>
      <c r="D6" s="55"/>
      <c r="E6" s="55"/>
      <c r="F6" s="55"/>
    </row>
    <row r="7" spans="1:6" ht="15.75" thickBot="1" x14ac:dyDescent="0.3">
      <c r="B7" s="55"/>
      <c r="C7" s="55"/>
      <c r="D7" s="55"/>
      <c r="E7" s="55"/>
      <c r="F7" s="61"/>
    </row>
    <row r="8" spans="1:6" ht="22.5" customHeight="1" thickBot="1" x14ac:dyDescent="0.3">
      <c r="A8" s="851" t="s">
        <v>7</v>
      </c>
      <c r="B8" s="852"/>
      <c r="C8" s="852"/>
      <c r="D8" s="853"/>
      <c r="E8" s="854" t="str">
        <f>' Plan de Negocio'!D20</f>
        <v>Queso maduro</v>
      </c>
      <c r="F8" s="855"/>
    </row>
    <row r="9" spans="1:6" ht="15.75" thickBot="1" x14ac:dyDescent="0.3">
      <c r="B9" s="55"/>
      <c r="C9" s="55"/>
      <c r="D9" s="55"/>
      <c r="E9" s="55"/>
      <c r="F9" s="55"/>
    </row>
    <row r="10" spans="1:6" ht="20.100000000000001" customHeight="1" x14ac:dyDescent="0.25">
      <c r="A10" s="73" t="s">
        <v>270</v>
      </c>
      <c r="B10" s="74" t="s">
        <v>271</v>
      </c>
      <c r="C10" s="74"/>
      <c r="D10" s="74"/>
      <c r="E10" s="74"/>
      <c r="F10" s="129"/>
    </row>
    <row r="11" spans="1:6" ht="9.75" customHeight="1" x14ac:dyDescent="0.25">
      <c r="A11" s="130"/>
      <c r="B11" s="131"/>
      <c r="C11" s="131"/>
      <c r="D11" s="131"/>
      <c r="E11" s="131"/>
      <c r="F11" s="132"/>
    </row>
    <row r="12" spans="1:6" ht="23.25" customHeight="1" x14ac:dyDescent="0.25">
      <c r="A12" s="133"/>
      <c r="B12" s="134" t="s">
        <v>78</v>
      </c>
      <c r="C12" s="856" t="s">
        <v>46</v>
      </c>
      <c r="D12" s="856"/>
      <c r="E12" s="857" t="s">
        <v>166</v>
      </c>
      <c r="F12" s="858"/>
    </row>
    <row r="13" spans="1:6" ht="20.100000000000001" customHeight="1" x14ac:dyDescent="0.25">
      <c r="A13" s="135">
        <v>1.1000000000000001</v>
      </c>
      <c r="B13" s="136" t="s">
        <v>178</v>
      </c>
      <c r="C13" s="859">
        <f>'Costo de Producción inicial'!C9</f>
        <v>0</v>
      </c>
      <c r="D13" s="859"/>
      <c r="E13" s="840">
        <v>1</v>
      </c>
      <c r="F13" s="841"/>
    </row>
    <row r="14" spans="1:6" ht="20.100000000000001" customHeight="1" x14ac:dyDescent="0.25">
      <c r="A14" s="135">
        <v>1.2</v>
      </c>
      <c r="B14" s="136" t="s">
        <v>162</v>
      </c>
      <c r="C14" s="859">
        <f>'Costo de Producción inicial'!C10</f>
        <v>0</v>
      </c>
      <c r="D14" s="859"/>
      <c r="E14" s="840">
        <v>1</v>
      </c>
      <c r="F14" s="841"/>
    </row>
    <row r="15" spans="1:6" ht="20.100000000000001" customHeight="1" x14ac:dyDescent="0.25">
      <c r="A15" s="135">
        <v>1.3</v>
      </c>
      <c r="B15" s="136" t="s">
        <v>179</v>
      </c>
      <c r="C15" s="859">
        <f>'Costo de Producción inicial'!C11</f>
        <v>0</v>
      </c>
      <c r="D15" s="859"/>
      <c r="E15" s="840">
        <f>F100*D108/100</f>
        <v>0</v>
      </c>
      <c r="F15" s="841"/>
    </row>
    <row r="16" spans="1:6" ht="20.100000000000001" customHeight="1" x14ac:dyDescent="0.25">
      <c r="A16" s="135">
        <v>1.4</v>
      </c>
      <c r="B16" s="136" t="s">
        <v>189</v>
      </c>
      <c r="C16" s="843">
        <f>C13</f>
        <v>0</v>
      </c>
      <c r="D16" s="843"/>
      <c r="E16" s="860">
        <f>'Costo de Producción inicial'!E12</f>
        <v>365</v>
      </c>
      <c r="F16" s="861"/>
    </row>
    <row r="17" spans="1:8" ht="20.100000000000001" customHeight="1" thickBot="1" x14ac:dyDescent="0.3">
      <c r="A17" s="137">
        <v>1.5</v>
      </c>
      <c r="B17" s="138" t="s">
        <v>467</v>
      </c>
      <c r="C17" s="846">
        <f>C14</f>
        <v>0</v>
      </c>
      <c r="D17" s="846"/>
      <c r="E17" s="847">
        <f>E16*E15</f>
        <v>0</v>
      </c>
      <c r="F17" s="848"/>
    </row>
    <row r="18" spans="1:8" ht="15.75" thickBot="1" x14ac:dyDescent="0.3">
      <c r="A18" s="139"/>
      <c r="B18" s="140"/>
      <c r="C18" s="141"/>
      <c r="D18" s="141"/>
      <c r="E18" s="142"/>
      <c r="F18" s="142"/>
    </row>
    <row r="19" spans="1:8" ht="20.100000000000001" customHeight="1" x14ac:dyDescent="0.25">
      <c r="A19" s="143" t="s">
        <v>268</v>
      </c>
      <c r="B19" s="144" t="s">
        <v>272</v>
      </c>
      <c r="C19" s="145"/>
      <c r="D19" s="146"/>
      <c r="E19" s="145"/>
      <c r="F19" s="147"/>
    </row>
    <row r="20" spans="1:8" ht="9.75" customHeight="1" x14ac:dyDescent="0.25">
      <c r="A20" s="148"/>
      <c r="B20" s="149"/>
      <c r="C20" s="150"/>
      <c r="D20" s="150"/>
      <c r="E20" s="150"/>
      <c r="F20" s="151"/>
    </row>
    <row r="21" spans="1:8" ht="20.100000000000001" customHeight="1" x14ac:dyDescent="0.25">
      <c r="A21" s="152"/>
      <c r="B21" s="153" t="s">
        <v>78</v>
      </c>
      <c r="C21" s="849" t="s">
        <v>46</v>
      </c>
      <c r="D21" s="849"/>
      <c r="E21" s="153" t="s">
        <v>166</v>
      </c>
      <c r="F21" s="154" t="s">
        <v>167</v>
      </c>
    </row>
    <row r="22" spans="1:8" ht="20.100000000000001" customHeight="1" x14ac:dyDescent="0.25">
      <c r="A22" s="155">
        <v>2.1</v>
      </c>
      <c r="B22" s="156" t="s">
        <v>180</v>
      </c>
      <c r="C22" s="843">
        <f>'Costo de Producción inicial'!C18</f>
        <v>0</v>
      </c>
      <c r="D22" s="843"/>
      <c r="E22" s="157">
        <v>1</v>
      </c>
      <c r="F22" s="255" t="e">
        <f>F56/E15</f>
        <v>#DIV/0!</v>
      </c>
    </row>
    <row r="23" spans="1:8" ht="20.100000000000001" customHeight="1" x14ac:dyDescent="0.25">
      <c r="A23" s="155">
        <v>2.2000000000000002</v>
      </c>
      <c r="B23" s="156" t="s">
        <v>181</v>
      </c>
      <c r="C23" s="833">
        <f>C22</f>
        <v>0</v>
      </c>
      <c r="D23" s="833"/>
      <c r="E23" s="157">
        <v>1</v>
      </c>
      <c r="F23" s="255" t="e">
        <f>F71/E15</f>
        <v>#DIV/0!</v>
      </c>
    </row>
    <row r="24" spans="1:8" ht="20.100000000000001" customHeight="1" x14ac:dyDescent="0.25">
      <c r="A24" s="155">
        <v>2.2999999999999998</v>
      </c>
      <c r="B24" s="156" t="s">
        <v>182</v>
      </c>
      <c r="C24" s="833">
        <f>C23</f>
        <v>0</v>
      </c>
      <c r="D24" s="833"/>
      <c r="E24" s="157">
        <v>1</v>
      </c>
      <c r="F24" s="255" t="e">
        <f>F84/E15</f>
        <v>#DIV/0!</v>
      </c>
    </row>
    <row r="25" spans="1:8" ht="20.100000000000001" customHeight="1" x14ac:dyDescent="0.25">
      <c r="A25" s="155">
        <v>2.4</v>
      </c>
      <c r="B25" s="156" t="s">
        <v>171</v>
      </c>
      <c r="C25" s="833">
        <f>C24</f>
        <v>0</v>
      </c>
      <c r="D25" s="833"/>
      <c r="E25" s="157">
        <v>1</v>
      </c>
      <c r="F25" s="255" t="e">
        <f>F93/E15</f>
        <v>#DIV/0!</v>
      </c>
    </row>
    <row r="26" spans="1:8" ht="20.100000000000001" customHeight="1" thickBot="1" x14ac:dyDescent="0.3">
      <c r="A26" s="158"/>
      <c r="B26" s="159" t="s">
        <v>172</v>
      </c>
      <c r="C26" s="817"/>
      <c r="D26" s="817"/>
      <c r="E26" s="160">
        <v>1</v>
      </c>
      <c r="F26" s="256" t="e">
        <f>SUM(F22:F25)</f>
        <v>#DIV/0!</v>
      </c>
      <c r="H26" s="33"/>
    </row>
    <row r="27" spans="1:8" ht="9" customHeight="1" thickBot="1" x14ac:dyDescent="0.3">
      <c r="A27" s="139"/>
      <c r="B27" s="131"/>
      <c r="C27" s="161"/>
      <c r="D27" s="161"/>
      <c r="E27" s="162"/>
      <c r="F27" s="162"/>
      <c r="H27" s="33"/>
    </row>
    <row r="28" spans="1:8" ht="20.100000000000001" customHeight="1" x14ac:dyDescent="0.25">
      <c r="A28" s="163" t="s">
        <v>269</v>
      </c>
      <c r="B28" s="125" t="s">
        <v>273</v>
      </c>
      <c r="C28" s="164"/>
      <c r="D28" s="165"/>
      <c r="E28" s="166"/>
      <c r="F28" s="167"/>
      <c r="H28" s="33"/>
    </row>
    <row r="29" spans="1:8" s="59" customFormat="1" ht="11.25" customHeight="1" x14ac:dyDescent="0.25">
      <c r="A29" s="168"/>
      <c r="B29" s="126"/>
      <c r="C29" s="169"/>
      <c r="D29" s="169"/>
      <c r="E29" s="170"/>
      <c r="F29" s="171"/>
      <c r="H29" s="127"/>
    </row>
    <row r="30" spans="1:8" ht="20.100000000000001" customHeight="1" x14ac:dyDescent="0.25">
      <c r="A30" s="152"/>
      <c r="B30" s="172" t="s">
        <v>78</v>
      </c>
      <c r="C30" s="834" t="s">
        <v>46</v>
      </c>
      <c r="D30" s="834"/>
      <c r="E30" s="835" t="s">
        <v>104</v>
      </c>
      <c r="F30" s="836"/>
      <c r="H30" s="33"/>
    </row>
    <row r="31" spans="1:8" ht="20.100000000000001" customHeight="1" x14ac:dyDescent="0.25">
      <c r="A31" s="155">
        <v>3.1</v>
      </c>
      <c r="B31" s="156" t="s">
        <v>163</v>
      </c>
      <c r="C31" s="826" t="s">
        <v>37</v>
      </c>
      <c r="D31" s="826"/>
      <c r="E31" s="837" t="e">
        <f>D56/E15</f>
        <v>#DIV/0!</v>
      </c>
      <c r="F31" s="838"/>
    </row>
    <row r="32" spans="1:8" ht="20.100000000000001" customHeight="1" x14ac:dyDescent="0.25">
      <c r="A32" s="155">
        <v>3.2</v>
      </c>
      <c r="B32" s="156" t="s">
        <v>164</v>
      </c>
      <c r="C32" s="826" t="s">
        <v>158</v>
      </c>
      <c r="D32" s="826"/>
      <c r="E32" s="829">
        <f>'Costo de Producción inicial'!E28</f>
        <v>0</v>
      </c>
      <c r="F32" s="830"/>
    </row>
    <row r="33" spans="1:6" ht="20.100000000000001" customHeight="1" x14ac:dyDescent="0.25">
      <c r="A33" s="155">
        <v>3.3</v>
      </c>
      <c r="B33" s="156" t="s">
        <v>177</v>
      </c>
      <c r="C33" s="826" t="s">
        <v>158</v>
      </c>
      <c r="D33" s="826"/>
      <c r="E33" s="829">
        <f>100-E32</f>
        <v>100</v>
      </c>
      <c r="F33" s="830"/>
    </row>
    <row r="34" spans="1:6" ht="20.100000000000001" customHeight="1" x14ac:dyDescent="0.25">
      <c r="A34" s="155">
        <v>3.4</v>
      </c>
      <c r="B34" s="156" t="s">
        <v>175</v>
      </c>
      <c r="C34" s="826" t="s">
        <v>37</v>
      </c>
      <c r="D34" s="826"/>
      <c r="E34" s="831" t="e">
        <f>E32*E31/100</f>
        <v>#DIV/0!</v>
      </c>
      <c r="F34" s="832"/>
    </row>
    <row r="35" spans="1:6" ht="20.100000000000001" customHeight="1" thickBot="1" x14ac:dyDescent="0.3">
      <c r="A35" s="173">
        <v>3.5</v>
      </c>
      <c r="B35" s="174" t="s">
        <v>176</v>
      </c>
      <c r="C35" s="817" t="s">
        <v>37</v>
      </c>
      <c r="D35" s="817"/>
      <c r="E35" s="818" t="e">
        <f>E33*E31/100</f>
        <v>#DIV/0!</v>
      </c>
      <c r="F35" s="819"/>
    </row>
    <row r="36" spans="1:6" ht="15.75" thickBot="1" x14ac:dyDescent="0.3">
      <c r="B36" s="62"/>
      <c r="C36" s="62"/>
      <c r="D36" s="62"/>
      <c r="E36" s="66"/>
      <c r="F36" s="62"/>
    </row>
    <row r="37" spans="1:6" ht="20.100000000000001" customHeight="1" x14ac:dyDescent="0.25">
      <c r="A37" s="178" t="s">
        <v>274</v>
      </c>
      <c r="B37" s="820" t="s">
        <v>275</v>
      </c>
      <c r="C37" s="821"/>
      <c r="D37" s="821"/>
      <c r="E37" s="821"/>
      <c r="F37" s="822"/>
    </row>
    <row r="38" spans="1:6" x14ac:dyDescent="0.25">
      <c r="A38" s="75"/>
      <c r="B38" s="64"/>
      <c r="C38" s="64"/>
      <c r="D38" s="64"/>
      <c r="E38" s="65"/>
      <c r="F38" s="67"/>
    </row>
    <row r="39" spans="1:6" x14ac:dyDescent="0.25">
      <c r="A39" s="823"/>
      <c r="B39" s="824" t="s">
        <v>153</v>
      </c>
      <c r="C39" s="824" t="s">
        <v>154</v>
      </c>
      <c r="D39" s="824" t="s">
        <v>155</v>
      </c>
      <c r="E39" s="824" t="s">
        <v>157</v>
      </c>
      <c r="F39" s="825" t="s">
        <v>156</v>
      </c>
    </row>
    <row r="40" spans="1:6" x14ac:dyDescent="0.25">
      <c r="A40" s="823"/>
      <c r="B40" s="824"/>
      <c r="C40" s="824"/>
      <c r="D40" s="824"/>
      <c r="E40" s="824"/>
      <c r="F40" s="825"/>
    </row>
    <row r="41" spans="1:6" x14ac:dyDescent="0.25">
      <c r="A41" s="823"/>
      <c r="B41" s="824"/>
      <c r="C41" s="824"/>
      <c r="D41" s="824"/>
      <c r="E41" s="824"/>
      <c r="F41" s="825"/>
    </row>
    <row r="42" spans="1:6" ht="20.100000000000001" customHeight="1" x14ac:dyDescent="0.25">
      <c r="A42" s="246">
        <v>4.0999999999999996</v>
      </c>
      <c r="B42" s="243" t="s">
        <v>276</v>
      </c>
      <c r="C42" s="244"/>
      <c r="D42" s="243"/>
      <c r="E42" s="243"/>
      <c r="F42" s="247"/>
    </row>
    <row r="43" spans="1:6" ht="20.100000000000001" customHeight="1" x14ac:dyDescent="0.25">
      <c r="A43" s="179" t="s">
        <v>226</v>
      </c>
      <c r="B43" s="175" t="s">
        <v>277</v>
      </c>
      <c r="C43" s="176"/>
      <c r="D43" s="177"/>
      <c r="E43" s="177"/>
      <c r="F43" s="180"/>
    </row>
    <row r="44" spans="1:6" ht="20.100000000000001" customHeight="1" x14ac:dyDescent="0.25">
      <c r="A44" s="72" t="s">
        <v>227</v>
      </c>
      <c r="B44" s="557" t="str">
        <f>'Costo de Producción inicial'!B40</f>
        <v>Pasteurización</v>
      </c>
      <c r="C44" s="77" t="s">
        <v>71</v>
      </c>
      <c r="D44" s="558">
        <f>'Costo de Producción inicial'!D40+'Costo de Producción inicial'!D40*$C$3</f>
        <v>0</v>
      </c>
      <c r="E44" s="559">
        <f>'Costo de Producción inicial'!E40</f>
        <v>80</v>
      </c>
      <c r="F44" s="80">
        <f>(D44*E44)</f>
        <v>0</v>
      </c>
    </row>
    <row r="45" spans="1:6" ht="20.100000000000001" customHeight="1" x14ac:dyDescent="0.25">
      <c r="A45" s="72" t="s">
        <v>228</v>
      </c>
      <c r="B45" s="557" t="str">
        <f>'Costo de Producción inicial'!B41</f>
        <v>Elaboración de quesos</v>
      </c>
      <c r="C45" s="77" t="s">
        <v>71</v>
      </c>
      <c r="D45" s="558">
        <f>'Costo de Producción inicial'!D41+'Costo de Producción inicial'!D41*$C$3</f>
        <v>2</v>
      </c>
      <c r="E45" s="559">
        <f>'Costo de Producción inicial'!E41</f>
        <v>80</v>
      </c>
      <c r="F45" s="80">
        <f>(D45*E45)</f>
        <v>160</v>
      </c>
    </row>
    <row r="46" spans="1:6" ht="20.100000000000001" customHeight="1" x14ac:dyDescent="0.25">
      <c r="A46" s="72" t="s">
        <v>229</v>
      </c>
      <c r="B46" s="557" t="str">
        <f>'Costo de Producción inicial'!B42</f>
        <v>Maduración</v>
      </c>
      <c r="C46" s="77" t="s">
        <v>71</v>
      </c>
      <c r="D46" s="558">
        <f>'Costo de Producción inicial'!D42+'Costo de Producción inicial'!D42*$C$3</f>
        <v>1</v>
      </c>
      <c r="E46" s="559">
        <f>'Costo de Producción inicial'!E42</f>
        <v>80</v>
      </c>
      <c r="F46" s="80">
        <f>(D46*E46)</f>
        <v>80</v>
      </c>
    </row>
    <row r="47" spans="1:6" ht="20.100000000000001" customHeight="1" x14ac:dyDescent="0.25">
      <c r="A47" s="72" t="s">
        <v>230</v>
      </c>
      <c r="B47" s="557" t="str">
        <f>'Costo de Producción inicial'!B43</f>
        <v>Despacho</v>
      </c>
      <c r="C47" s="77" t="s">
        <v>71</v>
      </c>
      <c r="D47" s="558">
        <f>'Costo de Producción inicial'!D43+'Costo de Producción inicial'!D43*$C$3</f>
        <v>1</v>
      </c>
      <c r="E47" s="559">
        <f>'Costo de Producción inicial'!E43</f>
        <v>80</v>
      </c>
      <c r="F47" s="80">
        <f t="shared" ref="F47:F55" si="0">(D47*E47)</f>
        <v>80</v>
      </c>
    </row>
    <row r="48" spans="1:6" ht="20.100000000000001" customHeight="1" x14ac:dyDescent="0.25">
      <c r="A48" s="72" t="s">
        <v>231</v>
      </c>
      <c r="B48" s="557" t="str">
        <f>'Costo de Producción inicial'!B44</f>
        <v>Ventas</v>
      </c>
      <c r="C48" s="77" t="s">
        <v>71</v>
      </c>
      <c r="D48" s="558">
        <f>'Costo de Producción inicial'!D44+'Costo de Producción inicial'!D44*$C$3</f>
        <v>1</v>
      </c>
      <c r="E48" s="559">
        <f>'Costo de Producción inicial'!E44</f>
        <v>0</v>
      </c>
      <c r="F48" s="80">
        <f t="shared" si="0"/>
        <v>0</v>
      </c>
    </row>
    <row r="49" spans="1:11" ht="20.100000000000001" customHeight="1" x14ac:dyDescent="0.25">
      <c r="A49" s="72" t="s">
        <v>232</v>
      </c>
      <c r="B49" s="557">
        <f>'Costo de Producción inicial'!B45</f>
        <v>0</v>
      </c>
      <c r="C49" s="77" t="s">
        <v>71</v>
      </c>
      <c r="D49" s="558">
        <f>'Costo de Producción inicial'!D45+'Costo de Producción inicial'!D45*$C$3</f>
        <v>0</v>
      </c>
      <c r="E49" s="559">
        <f>'Costo de Producción inicial'!E45</f>
        <v>0</v>
      </c>
      <c r="F49" s="80">
        <f t="shared" si="0"/>
        <v>0</v>
      </c>
    </row>
    <row r="50" spans="1:11" ht="20.100000000000001" customHeight="1" x14ac:dyDescent="0.25">
      <c r="A50" s="72" t="s">
        <v>233</v>
      </c>
      <c r="B50" s="557">
        <f>'Costo de Producción inicial'!B46</f>
        <v>0</v>
      </c>
      <c r="C50" s="77" t="s">
        <v>71</v>
      </c>
      <c r="D50" s="558">
        <f>'Costo de Producción inicial'!D46+'Costo de Producción inicial'!D46*$C$3</f>
        <v>0</v>
      </c>
      <c r="E50" s="559">
        <f>'Costo de Producción inicial'!E46</f>
        <v>0</v>
      </c>
      <c r="F50" s="80">
        <f t="shared" si="0"/>
        <v>0</v>
      </c>
    </row>
    <row r="51" spans="1:11" ht="20.100000000000001" customHeight="1" x14ac:dyDescent="0.25">
      <c r="A51" s="72" t="s">
        <v>234</v>
      </c>
      <c r="B51" s="557">
        <f>'Costo de Producción inicial'!B47</f>
        <v>0</v>
      </c>
      <c r="C51" s="77" t="s">
        <v>71</v>
      </c>
      <c r="D51" s="558">
        <f>'Costo de Producción inicial'!D47+'Costo de Producción inicial'!D47*$C$3</f>
        <v>0</v>
      </c>
      <c r="E51" s="559">
        <f>'Costo de Producción inicial'!E47</f>
        <v>0</v>
      </c>
      <c r="F51" s="80">
        <f t="shared" si="0"/>
        <v>0</v>
      </c>
    </row>
    <row r="52" spans="1:11" ht="20.100000000000001" customHeight="1" x14ac:dyDescent="0.25">
      <c r="A52" s="72" t="s">
        <v>235</v>
      </c>
      <c r="B52" s="557">
        <f>'Costo de Producción inicial'!B48</f>
        <v>0</v>
      </c>
      <c r="C52" s="77" t="s">
        <v>71</v>
      </c>
      <c r="D52" s="558">
        <f>'Costo de Producción inicial'!D48+'Costo de Producción inicial'!D48*$C$3</f>
        <v>0</v>
      </c>
      <c r="E52" s="559">
        <f>'Costo de Producción inicial'!E48</f>
        <v>0</v>
      </c>
      <c r="F52" s="80">
        <f t="shared" si="0"/>
        <v>0</v>
      </c>
    </row>
    <row r="53" spans="1:11" ht="20.100000000000001" customHeight="1" x14ac:dyDescent="0.25">
      <c r="A53" s="72" t="s">
        <v>236</v>
      </c>
      <c r="B53" s="557">
        <f>'Costo de Producción inicial'!B49</f>
        <v>0</v>
      </c>
      <c r="C53" s="77" t="s">
        <v>71</v>
      </c>
      <c r="D53" s="558">
        <f>'Costo de Producción inicial'!D49+'Costo de Producción inicial'!D49*$C$3</f>
        <v>0</v>
      </c>
      <c r="E53" s="559">
        <f>'Costo de Producción inicial'!E49</f>
        <v>0</v>
      </c>
      <c r="F53" s="80">
        <f t="shared" si="0"/>
        <v>0</v>
      </c>
    </row>
    <row r="54" spans="1:11" ht="20.100000000000001" customHeight="1" x14ac:dyDescent="0.25">
      <c r="A54" s="72" t="s">
        <v>237</v>
      </c>
      <c r="B54" s="557">
        <f>'Costo de Producción inicial'!B50</f>
        <v>0</v>
      </c>
      <c r="C54" s="77" t="s">
        <v>71</v>
      </c>
      <c r="D54" s="558">
        <f>'Costo de Producción inicial'!D50+'Costo de Producción inicial'!D50*$C$3</f>
        <v>0</v>
      </c>
      <c r="E54" s="559">
        <f>'Costo de Producción inicial'!E50</f>
        <v>0</v>
      </c>
      <c r="F54" s="80">
        <f t="shared" si="0"/>
        <v>0</v>
      </c>
    </row>
    <row r="55" spans="1:11" ht="20.100000000000001" customHeight="1" x14ac:dyDescent="0.25">
      <c r="A55" s="72" t="s">
        <v>238</v>
      </c>
      <c r="B55" s="557">
        <f>'Costo de Producción inicial'!B51</f>
        <v>0</v>
      </c>
      <c r="C55" s="77" t="s">
        <v>71</v>
      </c>
      <c r="D55" s="558">
        <f>'Costo de Producción inicial'!D51+'Costo de Producción inicial'!D51*$C$3</f>
        <v>0</v>
      </c>
      <c r="E55" s="559">
        <f>'Costo de Producción inicial'!E51</f>
        <v>0</v>
      </c>
      <c r="F55" s="80">
        <f t="shared" si="0"/>
        <v>0</v>
      </c>
    </row>
    <row r="56" spans="1:11" ht="20.100000000000001" customHeight="1" x14ac:dyDescent="0.25">
      <c r="A56" s="229"/>
      <c r="B56" s="188" t="s">
        <v>280</v>
      </c>
      <c r="C56" s="172"/>
      <c r="D56" s="181">
        <f>SUM(D44:D55)</f>
        <v>5</v>
      </c>
      <c r="E56" s="182">
        <f>AVERAGE(E44:E55)</f>
        <v>26.666666666666668</v>
      </c>
      <c r="F56" s="230">
        <f>SUM(F44:F55)</f>
        <v>320</v>
      </c>
      <c r="H56" s="33"/>
    </row>
    <row r="57" spans="1:11" ht="9.75" customHeight="1" x14ac:dyDescent="0.25">
      <c r="A57" s="75"/>
      <c r="B57" s="63"/>
      <c r="C57" s="68"/>
      <c r="D57" s="63"/>
      <c r="E57" s="69"/>
      <c r="F57" s="70"/>
    </row>
    <row r="58" spans="1:11" ht="20.100000000000001" customHeight="1" x14ac:dyDescent="0.25">
      <c r="A58" s="231" t="s">
        <v>239</v>
      </c>
      <c r="B58" s="184" t="s">
        <v>278</v>
      </c>
      <c r="C58" s="185"/>
      <c r="D58" s="183"/>
      <c r="E58" s="183"/>
      <c r="F58" s="232"/>
    </row>
    <row r="59" spans="1:11" ht="20.100000000000001" customHeight="1" x14ac:dyDescent="0.25">
      <c r="A59" s="72" t="s">
        <v>240</v>
      </c>
      <c r="B59" s="555" t="str">
        <f>'Costo de Producción inicial'!B55</f>
        <v>Leche</v>
      </c>
      <c r="C59" s="109">
        <f>'Costo de Producción inicial'!C55</f>
        <v>0</v>
      </c>
      <c r="D59" s="109">
        <f>'Costo de Producción inicial'!D55+'Costo de Producción inicial'!D55*'Costo de Producción propuesto'!$C$3</f>
        <v>5000</v>
      </c>
      <c r="E59" s="556">
        <f>'Costo de Producción inicial'!E55</f>
        <v>1.2</v>
      </c>
      <c r="F59" s="83">
        <f>D59*E59</f>
        <v>6000</v>
      </c>
    </row>
    <row r="60" spans="1:11" ht="20.100000000000001" customHeight="1" x14ac:dyDescent="0.25">
      <c r="A60" s="72" t="s">
        <v>241</v>
      </c>
      <c r="B60" s="555" t="str">
        <f>'Costo de Producción inicial'!B56</f>
        <v>Fermentos</v>
      </c>
      <c r="C60" s="109" t="str">
        <f>'Costo de Producción inicial'!C56</f>
        <v>Global</v>
      </c>
      <c r="D60" s="109">
        <f>'Costo de Producción inicial'!D56+'Costo de Producción inicial'!D56*'Costo de Producción propuesto'!$C$3</f>
        <v>1</v>
      </c>
      <c r="E60" s="556">
        <f>'Costo de Producción inicial'!E56</f>
        <v>250</v>
      </c>
      <c r="F60" s="86">
        <f t="shared" ref="F60:F70" si="1">D60*E60</f>
        <v>250</v>
      </c>
    </row>
    <row r="61" spans="1:11" ht="20.100000000000001" customHeight="1" x14ac:dyDescent="0.25">
      <c r="A61" s="72" t="s">
        <v>242</v>
      </c>
      <c r="B61" s="555" t="str">
        <f>'Costo de Producción inicial'!B57</f>
        <v>Empaques</v>
      </c>
      <c r="C61" s="109" t="str">
        <f>'Costo de Producción inicial'!C57</f>
        <v>Global</v>
      </c>
      <c r="D61" s="109">
        <f>'Costo de Producción inicial'!D57+'Costo de Producción inicial'!D57*'Costo de Producción propuesto'!$C$3</f>
        <v>1</v>
      </c>
      <c r="E61" s="556">
        <f>'Costo de Producción inicial'!E57</f>
        <v>600</v>
      </c>
      <c r="F61" s="86">
        <f t="shared" si="1"/>
        <v>600</v>
      </c>
    </row>
    <row r="62" spans="1:11" ht="20.100000000000001" customHeight="1" x14ac:dyDescent="0.25">
      <c r="A62" s="72" t="s">
        <v>243</v>
      </c>
      <c r="B62" s="555" t="str">
        <f>'Costo de Producción inicial'!B58</f>
        <v>Otros</v>
      </c>
      <c r="C62" s="109" t="str">
        <f>'Costo de Producción inicial'!C58</f>
        <v>Global</v>
      </c>
      <c r="D62" s="109">
        <f>'Costo de Producción inicial'!D58+'Costo de Producción inicial'!D58*'Costo de Producción propuesto'!$C$3</f>
        <v>1</v>
      </c>
      <c r="E62" s="556">
        <f>'Costo de Producción inicial'!E58</f>
        <v>600</v>
      </c>
      <c r="F62" s="86">
        <f t="shared" si="1"/>
        <v>600</v>
      </c>
      <c r="K62" s="31"/>
    </row>
    <row r="63" spans="1:11" ht="20.100000000000001" customHeight="1" x14ac:dyDescent="0.25">
      <c r="A63" s="72" t="s">
        <v>244</v>
      </c>
      <c r="B63" s="555">
        <f>'Costo de Producción inicial'!B59</f>
        <v>0</v>
      </c>
      <c r="C63" s="109">
        <f>'Costo de Producción inicial'!C59</f>
        <v>0</v>
      </c>
      <c r="D63" s="109">
        <f>'Costo de Producción inicial'!D59+'Costo de Producción inicial'!D59*'Costo de Producción propuesto'!$C$3</f>
        <v>0</v>
      </c>
      <c r="E63" s="556">
        <f>'Costo de Producción inicial'!E59</f>
        <v>0</v>
      </c>
      <c r="F63" s="86">
        <f t="shared" si="1"/>
        <v>0</v>
      </c>
    </row>
    <row r="64" spans="1:11" ht="20.100000000000001" customHeight="1" x14ac:dyDescent="0.25">
      <c r="A64" s="72" t="s">
        <v>245</v>
      </c>
      <c r="B64" s="555">
        <f>'Costo de Producción inicial'!B60</f>
        <v>0</v>
      </c>
      <c r="C64" s="109">
        <f>'Costo de Producción inicial'!C60</f>
        <v>0</v>
      </c>
      <c r="D64" s="109">
        <f>'Costo de Producción inicial'!D60+'Costo de Producción inicial'!D60*'Costo de Producción propuesto'!$C$3</f>
        <v>0</v>
      </c>
      <c r="E64" s="556">
        <f>'Costo de Producción inicial'!E60</f>
        <v>0</v>
      </c>
      <c r="F64" s="86">
        <f t="shared" si="1"/>
        <v>0</v>
      </c>
    </row>
    <row r="65" spans="1:6" ht="20.100000000000001" customHeight="1" x14ac:dyDescent="0.25">
      <c r="A65" s="72" t="s">
        <v>246</v>
      </c>
      <c r="B65" s="555">
        <f>'Costo de Producción inicial'!B61</f>
        <v>0</v>
      </c>
      <c r="C65" s="109">
        <f>'Costo de Producción inicial'!C61</f>
        <v>0</v>
      </c>
      <c r="D65" s="109">
        <f>'Costo de Producción inicial'!D61+'Costo de Producción inicial'!D61*'Costo de Producción propuesto'!$C$3</f>
        <v>0</v>
      </c>
      <c r="E65" s="556">
        <f>'Costo de Producción inicial'!E61</f>
        <v>0</v>
      </c>
      <c r="F65" s="86">
        <f t="shared" si="1"/>
        <v>0</v>
      </c>
    </row>
    <row r="66" spans="1:6" ht="20.100000000000001" customHeight="1" x14ac:dyDescent="0.25">
      <c r="A66" s="72" t="s">
        <v>247</v>
      </c>
      <c r="B66" s="555">
        <f>'Costo de Producción inicial'!B62</f>
        <v>0</v>
      </c>
      <c r="C66" s="109">
        <f>'Costo de Producción inicial'!C62</f>
        <v>0</v>
      </c>
      <c r="D66" s="109">
        <f>'Costo de Producción inicial'!D62+'Costo de Producción inicial'!D62*'Costo de Producción propuesto'!$C$3</f>
        <v>0</v>
      </c>
      <c r="E66" s="556">
        <f>'Costo de Producción inicial'!E62</f>
        <v>0</v>
      </c>
      <c r="F66" s="86">
        <f t="shared" si="1"/>
        <v>0</v>
      </c>
    </row>
    <row r="67" spans="1:6" ht="20.100000000000001" customHeight="1" x14ac:dyDescent="0.25">
      <c r="A67" s="72" t="s">
        <v>248</v>
      </c>
      <c r="B67" s="555">
        <f>'Costo de Producción inicial'!B63</f>
        <v>0</v>
      </c>
      <c r="C67" s="109">
        <f>'Costo de Producción inicial'!C63</f>
        <v>0</v>
      </c>
      <c r="D67" s="109">
        <f>'Costo de Producción inicial'!D63+'Costo de Producción inicial'!D63*'Costo de Producción propuesto'!$C$3</f>
        <v>0</v>
      </c>
      <c r="E67" s="556">
        <f>'Costo de Producción inicial'!E63</f>
        <v>0</v>
      </c>
      <c r="F67" s="86">
        <f t="shared" si="1"/>
        <v>0</v>
      </c>
    </row>
    <row r="68" spans="1:6" ht="20.100000000000001" customHeight="1" x14ac:dyDescent="0.25">
      <c r="A68" s="72" t="s">
        <v>249</v>
      </c>
      <c r="B68" s="555">
        <f>'Costo de Producción inicial'!B64</f>
        <v>0</v>
      </c>
      <c r="C68" s="109">
        <f>'Costo de Producción inicial'!C64</f>
        <v>0</v>
      </c>
      <c r="D68" s="109">
        <f>'Costo de Producción inicial'!D64+'Costo de Producción inicial'!D64*'Costo de Producción propuesto'!$C$3</f>
        <v>0</v>
      </c>
      <c r="E68" s="556">
        <f>'Costo de Producción inicial'!E64</f>
        <v>0</v>
      </c>
      <c r="F68" s="86">
        <f t="shared" si="1"/>
        <v>0</v>
      </c>
    </row>
    <row r="69" spans="1:6" ht="20.100000000000001" customHeight="1" x14ac:dyDescent="0.25">
      <c r="A69" s="72" t="s">
        <v>250</v>
      </c>
      <c r="B69" s="555">
        <f>'Costo de Producción inicial'!B65</f>
        <v>0</v>
      </c>
      <c r="C69" s="109">
        <f>'Costo de Producción inicial'!C65</f>
        <v>0</v>
      </c>
      <c r="D69" s="109">
        <f>'Costo de Producción inicial'!D65+'Costo de Producción inicial'!D65*'Costo de Producción propuesto'!$C$3</f>
        <v>0</v>
      </c>
      <c r="E69" s="556">
        <f>'Costo de Producción inicial'!E65</f>
        <v>0</v>
      </c>
      <c r="F69" s="86">
        <f t="shared" si="1"/>
        <v>0</v>
      </c>
    </row>
    <row r="70" spans="1:6" ht="20.100000000000001" customHeight="1" x14ac:dyDescent="0.25">
      <c r="A70" s="233" t="s">
        <v>251</v>
      </c>
      <c r="B70" s="555">
        <f>'Costo de Producción inicial'!B66</f>
        <v>0</v>
      </c>
      <c r="C70" s="109">
        <f>'Costo de Producción inicial'!C66</f>
        <v>0</v>
      </c>
      <c r="D70" s="109">
        <f>'Costo de Producción inicial'!D66+'Costo de Producción inicial'!D66*'Costo de Producción propuesto'!$C$3</f>
        <v>0</v>
      </c>
      <c r="E70" s="556">
        <f>'Costo de Producción inicial'!E66</f>
        <v>0</v>
      </c>
      <c r="F70" s="234">
        <f t="shared" si="1"/>
        <v>0</v>
      </c>
    </row>
    <row r="71" spans="1:6" ht="20.100000000000001" customHeight="1" x14ac:dyDescent="0.25">
      <c r="A71" s="248"/>
      <c r="B71" s="194" t="s">
        <v>281</v>
      </c>
      <c r="C71" s="195"/>
      <c r="D71" s="207"/>
      <c r="E71" s="208"/>
      <c r="F71" s="249">
        <f>SUM(F59:F70)</f>
        <v>7450</v>
      </c>
    </row>
    <row r="72" spans="1:6" ht="13.5" customHeight="1" x14ac:dyDescent="0.25">
      <c r="A72" s="75"/>
      <c r="B72" s="89"/>
      <c r="C72" s="88"/>
      <c r="D72" s="89"/>
      <c r="E72" s="89"/>
      <c r="F72" s="90"/>
    </row>
    <row r="73" spans="1:6" ht="20.100000000000001" customHeight="1" x14ac:dyDescent="0.25">
      <c r="A73" s="235" t="s">
        <v>252</v>
      </c>
      <c r="B73" s="189" t="s">
        <v>279</v>
      </c>
      <c r="C73" s="185"/>
      <c r="D73" s="183"/>
      <c r="E73" s="183"/>
      <c r="F73" s="232"/>
    </row>
    <row r="74" spans="1:6" ht="20.100000000000001" customHeight="1" x14ac:dyDescent="0.25">
      <c r="A74" s="72" t="s">
        <v>253</v>
      </c>
      <c r="B74" s="190" t="s">
        <v>302</v>
      </c>
      <c r="C74" s="76" t="s">
        <v>72</v>
      </c>
      <c r="D74" s="109">
        <f>'Costo de Producción inicial'!D70+'Costo de Producción inicial'!D70*'Costo de Producción propuesto'!$C$3</f>
        <v>1</v>
      </c>
      <c r="E74" s="91">
        <f>0.02*(F56+F71)</f>
        <v>155.4</v>
      </c>
      <c r="F74" s="92">
        <f>E74*D74</f>
        <v>155.4</v>
      </c>
    </row>
    <row r="75" spans="1:6" ht="20.100000000000001" customHeight="1" x14ac:dyDescent="0.25">
      <c r="A75" s="72" t="s">
        <v>254</v>
      </c>
      <c r="B75" s="555" t="str">
        <f>'Costo de Producción inicial'!B71</f>
        <v>Recepción</v>
      </c>
      <c r="C75" s="109" t="str">
        <f>'Costo de Producción inicial'!C71</f>
        <v>Global</v>
      </c>
      <c r="D75" s="109">
        <f>'Costo de Producción inicial'!D71+'Costo de Producción inicial'!D71*'Costo de Producción propuesto'!$C$3</f>
        <v>1</v>
      </c>
      <c r="E75" s="556">
        <f>'Costo de Producción inicial'!E71</f>
        <v>11</v>
      </c>
      <c r="F75" s="92">
        <f>E75*D75</f>
        <v>11</v>
      </c>
    </row>
    <row r="76" spans="1:6" ht="20.100000000000001" customHeight="1" x14ac:dyDescent="0.25">
      <c r="A76" s="72" t="s">
        <v>255</v>
      </c>
      <c r="B76" s="555" t="str">
        <f>'Costo de Producción inicial'!B72</f>
        <v>Pasteurización</v>
      </c>
      <c r="C76" s="109" t="str">
        <f>'Costo de Producción inicial'!C72</f>
        <v>Global</v>
      </c>
      <c r="D76" s="109">
        <f>'Costo de Producción inicial'!D72+'Costo de Producción inicial'!D72*'Costo de Producción propuesto'!$C$3</f>
        <v>1</v>
      </c>
      <c r="E76" s="556">
        <f>'Costo de Producción inicial'!E72</f>
        <v>90</v>
      </c>
      <c r="F76" s="92">
        <f>E76*D76</f>
        <v>90</v>
      </c>
    </row>
    <row r="77" spans="1:6" ht="20.100000000000001" customHeight="1" x14ac:dyDescent="0.25">
      <c r="A77" s="72" t="s">
        <v>256</v>
      </c>
      <c r="B77" s="555" t="str">
        <f>'Costo de Producción inicial'!B73</f>
        <v>Maduración</v>
      </c>
      <c r="C77" s="109" t="str">
        <f>'Costo de Producción inicial'!C73</f>
        <v>Global</v>
      </c>
      <c r="D77" s="109">
        <f>'Costo de Producción inicial'!D73+'Costo de Producción inicial'!D73*'Costo de Producción propuesto'!$C$3</f>
        <v>1</v>
      </c>
      <c r="E77" s="556">
        <f>'Costo de Producción inicial'!E73</f>
        <v>27</v>
      </c>
      <c r="F77" s="92">
        <f t="shared" ref="F77:F83" si="2">E77*D77</f>
        <v>27</v>
      </c>
    </row>
    <row r="78" spans="1:6" ht="20.100000000000001" customHeight="1" x14ac:dyDescent="0.25">
      <c r="A78" s="72" t="s">
        <v>424</v>
      </c>
      <c r="B78" s="555" t="str">
        <f>'Costo de Producción inicial'!B74</f>
        <v>Empaque final</v>
      </c>
      <c r="C78" s="109" t="str">
        <f>'Costo de Producción inicial'!C74</f>
        <v>Global</v>
      </c>
      <c r="D78" s="109">
        <f>'Costo de Producción inicial'!D74+'Costo de Producción inicial'!D74*'Costo de Producción propuesto'!$C$3</f>
        <v>1</v>
      </c>
      <c r="E78" s="556">
        <f>'Costo de Producción inicial'!E74</f>
        <v>3</v>
      </c>
      <c r="F78" s="92">
        <f t="shared" si="2"/>
        <v>3</v>
      </c>
    </row>
    <row r="79" spans="1:6" ht="20.100000000000001" customHeight="1" x14ac:dyDescent="0.25">
      <c r="A79" s="72" t="s">
        <v>425</v>
      </c>
      <c r="B79" s="555" t="str">
        <f>'Costo de Producción inicial'!B75</f>
        <v>Construcción y equipamiento</v>
      </c>
      <c r="C79" s="109" t="str">
        <f>'Costo de Producción inicial'!C75</f>
        <v>Global</v>
      </c>
      <c r="D79" s="109">
        <f>'Costo de Producción inicial'!D75+'Costo de Producción inicial'!D75*'Costo de Producción propuesto'!$C$3</f>
        <v>1</v>
      </c>
      <c r="E79" s="556">
        <f>'Costo de Producción inicial'!E75</f>
        <v>221</v>
      </c>
      <c r="F79" s="92">
        <f t="shared" si="2"/>
        <v>221</v>
      </c>
    </row>
    <row r="80" spans="1:6" ht="20.100000000000001" customHeight="1" x14ac:dyDescent="0.25">
      <c r="A80" s="72" t="s">
        <v>426</v>
      </c>
      <c r="B80" s="555" t="str">
        <f>'Costo de Producción inicial'!B76</f>
        <v>Gastos operativos</v>
      </c>
      <c r="C80" s="109" t="str">
        <f>'Costo de Producción inicial'!C76</f>
        <v>Global</v>
      </c>
      <c r="D80" s="109">
        <f>'Costo de Producción inicial'!D76+'Costo de Producción inicial'!D76*'Costo de Producción propuesto'!$C$3</f>
        <v>1</v>
      </c>
      <c r="E80" s="556">
        <f>'Costo de Producción inicial'!E76</f>
        <v>400</v>
      </c>
      <c r="F80" s="92">
        <f t="shared" si="2"/>
        <v>400</v>
      </c>
    </row>
    <row r="81" spans="1:10" ht="20.100000000000001" customHeight="1" x14ac:dyDescent="0.25">
      <c r="A81" s="72" t="s">
        <v>427</v>
      </c>
      <c r="B81" s="555">
        <f>'Costo de Producción inicial'!B77</f>
        <v>0</v>
      </c>
      <c r="C81" s="109">
        <f>'Costo de Producción inicial'!C77</f>
        <v>0</v>
      </c>
      <c r="D81" s="109">
        <f>'Costo de Producción inicial'!D77+'Costo de Producción inicial'!D77*'Costo de Producción propuesto'!$C$3</f>
        <v>0</v>
      </c>
      <c r="E81" s="556">
        <f>'Costo de Producción inicial'!E77</f>
        <v>0</v>
      </c>
      <c r="F81" s="92">
        <f t="shared" si="2"/>
        <v>0</v>
      </c>
    </row>
    <row r="82" spans="1:10" ht="20.100000000000001" customHeight="1" x14ac:dyDescent="0.25">
      <c r="A82" s="72" t="s">
        <v>429</v>
      </c>
      <c r="B82" s="555">
        <f>'Costo de Producción inicial'!B78</f>
        <v>0</v>
      </c>
      <c r="C82" s="109">
        <f>'Costo de Producción inicial'!C78</f>
        <v>0</v>
      </c>
      <c r="D82" s="109">
        <f>'Costo de Producción inicial'!D78+'Costo de Producción inicial'!D78*'Costo de Producción propuesto'!$C$3</f>
        <v>0</v>
      </c>
      <c r="E82" s="556">
        <f>'Costo de Producción inicial'!E78</f>
        <v>0</v>
      </c>
      <c r="F82" s="92">
        <f t="shared" si="2"/>
        <v>0</v>
      </c>
    </row>
    <row r="83" spans="1:10" ht="20.100000000000001" customHeight="1" x14ac:dyDescent="0.25">
      <c r="A83" s="72" t="s">
        <v>430</v>
      </c>
      <c r="B83" s="555">
        <f>'Costo de Producción inicial'!B79</f>
        <v>0</v>
      </c>
      <c r="C83" s="109">
        <f>'Costo de Producción inicial'!C79</f>
        <v>0</v>
      </c>
      <c r="D83" s="109">
        <f>'Costo de Producción inicial'!D79+'Costo de Producción inicial'!D79*'Costo de Producción propuesto'!$C$3</f>
        <v>0</v>
      </c>
      <c r="E83" s="556">
        <f>'Costo de Producción inicial'!E79</f>
        <v>0</v>
      </c>
      <c r="F83" s="92">
        <f t="shared" si="2"/>
        <v>0</v>
      </c>
    </row>
    <row r="84" spans="1:10" ht="20.100000000000001" customHeight="1" x14ac:dyDescent="0.25">
      <c r="A84" s="250"/>
      <c r="B84" s="245" t="s">
        <v>286</v>
      </c>
      <c r="C84" s="210"/>
      <c r="D84" s="210"/>
      <c r="E84" s="211"/>
      <c r="F84" s="249">
        <f>SUM(F74:F83)</f>
        <v>907.4</v>
      </c>
    </row>
    <row r="85" spans="1:10" ht="12.75" customHeight="1" x14ac:dyDescent="0.25">
      <c r="A85" s="75"/>
      <c r="B85" s="191"/>
      <c r="C85" s="88"/>
      <c r="D85" s="89"/>
      <c r="E85" s="89"/>
      <c r="F85" s="93"/>
    </row>
    <row r="86" spans="1:10" ht="20.100000000000001" customHeight="1" x14ac:dyDescent="0.25">
      <c r="A86" s="236"/>
      <c r="B86" s="196" t="s">
        <v>173</v>
      </c>
      <c r="C86" s="197"/>
      <c r="D86" s="196"/>
      <c r="E86" s="196"/>
      <c r="F86" s="237">
        <f>(F56+F71+F84)</f>
        <v>8677.4</v>
      </c>
    </row>
    <row r="87" spans="1:10" ht="14.25" customHeight="1" x14ac:dyDescent="0.25">
      <c r="A87" s="75"/>
      <c r="B87" s="89"/>
      <c r="C87" s="88"/>
      <c r="D87" s="89"/>
      <c r="E87" s="89"/>
      <c r="F87" s="90"/>
    </row>
    <row r="88" spans="1:10" ht="20.100000000000001" customHeight="1" x14ac:dyDescent="0.25">
      <c r="A88" s="238" t="s">
        <v>257</v>
      </c>
      <c r="B88" s="198" t="s">
        <v>282</v>
      </c>
      <c r="C88" s="199"/>
      <c r="D88" s="200"/>
      <c r="E88" s="200"/>
      <c r="F88" s="239"/>
      <c r="J88" s="33"/>
    </row>
    <row r="89" spans="1:10" ht="20.100000000000001" customHeight="1" x14ac:dyDescent="0.25">
      <c r="A89" s="227" t="s">
        <v>258</v>
      </c>
      <c r="B89" s="201" t="s">
        <v>283</v>
      </c>
      <c r="C89" s="76" t="s">
        <v>72</v>
      </c>
      <c r="D89" s="98">
        <v>1</v>
      </c>
      <c r="E89" s="554">
        <f>'Costo de Producción inicial'!E85</f>
        <v>0</v>
      </c>
      <c r="F89" s="99">
        <f>+D89*E89</f>
        <v>0</v>
      </c>
      <c r="H89" s="56"/>
    </row>
    <row r="90" spans="1:10" ht="20.100000000000001" customHeight="1" x14ac:dyDescent="0.25">
      <c r="A90" s="227" t="s">
        <v>259</v>
      </c>
      <c r="B90" s="201" t="s">
        <v>284</v>
      </c>
      <c r="C90" s="76" t="s">
        <v>72</v>
      </c>
      <c r="D90" s="98">
        <v>1</v>
      </c>
      <c r="E90" s="100">
        <f>F86*0.03</f>
        <v>260.322</v>
      </c>
      <c r="F90" s="99">
        <f>+D90*E90</f>
        <v>260.322</v>
      </c>
      <c r="H90" s="55"/>
    </row>
    <row r="91" spans="1:10" ht="20.100000000000001" customHeight="1" x14ac:dyDescent="0.25">
      <c r="A91" s="227" t="s">
        <v>260</v>
      </c>
      <c r="B91" s="201" t="s">
        <v>285</v>
      </c>
      <c r="C91" s="76" t="s">
        <v>72</v>
      </c>
      <c r="D91" s="98">
        <v>1</v>
      </c>
      <c r="E91" s="100">
        <f>F86*0.02</f>
        <v>173.548</v>
      </c>
      <c r="F91" s="99">
        <f>+D91*E91</f>
        <v>173.548</v>
      </c>
      <c r="H91" s="55"/>
    </row>
    <row r="92" spans="1:10" ht="13.5" customHeight="1" x14ac:dyDescent="0.25">
      <c r="A92" s="75"/>
      <c r="B92" s="89"/>
      <c r="C92" s="88"/>
      <c r="D92" s="101"/>
      <c r="E92" s="102"/>
      <c r="F92" s="103"/>
    </row>
    <row r="93" spans="1:10" ht="20.100000000000001" customHeight="1" x14ac:dyDescent="0.25">
      <c r="A93" s="240"/>
      <c r="B93" s="192" t="s">
        <v>174</v>
      </c>
      <c r="C93" s="193"/>
      <c r="D93" s="192"/>
      <c r="E93" s="202"/>
      <c r="F93" s="241">
        <f>SUM(F89:F91)</f>
        <v>433.87</v>
      </c>
      <c r="H93" s="56"/>
      <c r="I93" s="33"/>
    </row>
    <row r="94" spans="1:10" ht="13.5" customHeight="1" x14ac:dyDescent="0.25">
      <c r="A94" s="75"/>
      <c r="B94" s="89"/>
      <c r="C94" s="88"/>
      <c r="D94" s="89"/>
      <c r="E94" s="89"/>
      <c r="F94" s="90"/>
    </row>
    <row r="95" spans="1:10" ht="20.100000000000001" customHeight="1" thickBot="1" x14ac:dyDescent="0.3">
      <c r="A95" s="242">
        <v>4.3</v>
      </c>
      <c r="B95" s="212" t="s">
        <v>287</v>
      </c>
      <c r="C95" s="213"/>
      <c r="D95" s="214"/>
      <c r="E95" s="214"/>
      <c r="F95" s="215">
        <f>(F86+F93)</f>
        <v>9111.27</v>
      </c>
      <c r="H95" s="33"/>
      <c r="I95" s="33"/>
      <c r="J95" s="33"/>
    </row>
    <row r="96" spans="1:10" ht="20.100000000000001" customHeight="1" thickBot="1" x14ac:dyDescent="0.3">
      <c r="B96" s="104"/>
      <c r="C96" s="105"/>
      <c r="D96" s="104"/>
      <c r="E96" s="104"/>
      <c r="F96" s="104"/>
      <c r="I96" s="33"/>
      <c r="J96" s="33"/>
    </row>
    <row r="97" spans="1:11" ht="20.100000000000001" customHeight="1" x14ac:dyDescent="0.25">
      <c r="A97" s="94" t="s">
        <v>261</v>
      </c>
      <c r="B97" s="94" t="s">
        <v>288</v>
      </c>
      <c r="C97" s="95"/>
      <c r="D97" s="96"/>
      <c r="E97" s="96"/>
      <c r="F97" s="97"/>
    </row>
    <row r="98" spans="1:11" ht="9.75" customHeight="1" x14ac:dyDescent="0.25">
      <c r="A98" s="75"/>
      <c r="B98" s="106"/>
      <c r="C98" s="107"/>
      <c r="D98" s="108"/>
      <c r="E98" s="108"/>
      <c r="F98" s="226"/>
    </row>
    <row r="99" spans="1:11" ht="20.100000000000001" customHeight="1" x14ac:dyDescent="0.25">
      <c r="A99" s="219"/>
      <c r="B99" s="57" t="s">
        <v>78</v>
      </c>
      <c r="C99" s="195"/>
      <c r="D99" s="58"/>
      <c r="E99" s="58" t="s">
        <v>46</v>
      </c>
      <c r="F99" s="550" t="s">
        <v>104</v>
      </c>
    </row>
    <row r="100" spans="1:11" ht="20.100000000000001" customHeight="1" x14ac:dyDescent="0.25">
      <c r="A100" s="227" t="s">
        <v>262</v>
      </c>
      <c r="B100" s="812" t="s">
        <v>299</v>
      </c>
      <c r="C100" s="812"/>
      <c r="D100" s="812"/>
      <c r="E100" s="109">
        <f>C15</f>
        <v>0</v>
      </c>
      <c r="F100" s="602">
        <f>'Costo de Producción inicial'!F96+'Costo de Producción inicial'!F96*'Costo de Producción propuesto'!C3</f>
        <v>0</v>
      </c>
      <c r="H100" s="30"/>
      <c r="J100" s="55"/>
      <c r="K100" s="30"/>
    </row>
    <row r="101" spans="1:11" ht="20.100000000000001" customHeight="1" x14ac:dyDescent="0.25">
      <c r="A101" s="227" t="s">
        <v>263</v>
      </c>
      <c r="B101" s="813" t="s">
        <v>300</v>
      </c>
      <c r="C101" s="813"/>
      <c r="D101" s="813"/>
      <c r="E101" s="109">
        <f>C25</f>
        <v>0</v>
      </c>
      <c r="F101" s="602">
        <f>'Costo de Producción inicial'!F97+'Costo de Producción inicial'!F97*'Costo de Producción propuesto'!C4</f>
        <v>0</v>
      </c>
      <c r="J101" s="55"/>
      <c r="K101" s="33"/>
    </row>
    <row r="102" spans="1:11" ht="20.100000000000001" customHeight="1" thickBot="1" x14ac:dyDescent="0.3">
      <c r="A102" s="228" t="s">
        <v>264</v>
      </c>
      <c r="B102" s="814" t="s">
        <v>291</v>
      </c>
      <c r="C102" s="814"/>
      <c r="D102" s="814"/>
      <c r="E102" s="110" t="s">
        <v>220</v>
      </c>
      <c r="F102" s="111">
        <f>(F100*F101)</f>
        <v>0</v>
      </c>
      <c r="H102" s="31"/>
      <c r="J102" s="55"/>
      <c r="K102" s="32"/>
    </row>
    <row r="103" spans="1:11" ht="20.100000000000001" customHeight="1" thickBot="1" x14ac:dyDescent="0.3">
      <c r="B103" s="104"/>
      <c r="C103" s="105"/>
      <c r="D103" s="104"/>
      <c r="E103" s="104"/>
      <c r="F103" s="112"/>
    </row>
    <row r="104" spans="1:11" ht="20.100000000000001" customHeight="1" x14ac:dyDescent="0.25">
      <c r="A104" s="113" t="s">
        <v>265</v>
      </c>
      <c r="B104" s="113" t="s">
        <v>289</v>
      </c>
      <c r="C104" s="114"/>
      <c r="D104" s="115"/>
      <c r="E104" s="115"/>
      <c r="F104" s="116"/>
      <c r="K104" s="33"/>
    </row>
    <row r="105" spans="1:11" s="53" customFormat="1" ht="9" customHeight="1" x14ac:dyDescent="0.25">
      <c r="A105" s="217"/>
      <c r="B105" s="117"/>
      <c r="C105" s="118"/>
      <c r="D105" s="119"/>
      <c r="E105" s="119"/>
      <c r="F105" s="218"/>
    </row>
    <row r="106" spans="1:11" ht="20.100000000000001" customHeight="1" x14ac:dyDescent="0.25">
      <c r="A106" s="219"/>
      <c r="B106" s="57" t="s">
        <v>78</v>
      </c>
      <c r="C106" s="252"/>
      <c r="D106" s="197" t="s">
        <v>158</v>
      </c>
      <c r="E106" s="253"/>
      <c r="F106" s="220" t="s">
        <v>215</v>
      </c>
    </row>
    <row r="107" spans="1:11" ht="20.100000000000001" customHeight="1" x14ac:dyDescent="0.25">
      <c r="A107" s="72" t="s">
        <v>266</v>
      </c>
      <c r="B107" s="251" t="s">
        <v>308</v>
      </c>
      <c r="C107" s="551"/>
      <c r="D107" s="552">
        <f>'Costo de Producción inicial'!D103</f>
        <v>0</v>
      </c>
      <c r="E107" s="553"/>
      <c r="F107" s="120">
        <f>D107*F102/100</f>
        <v>0</v>
      </c>
    </row>
    <row r="108" spans="1:11" ht="20.100000000000001" customHeight="1" x14ac:dyDescent="0.25">
      <c r="A108" s="72">
        <v>6.2</v>
      </c>
      <c r="B108" s="251" t="s">
        <v>309</v>
      </c>
      <c r="C108" s="121"/>
      <c r="D108" s="122">
        <f>100-D107</f>
        <v>100</v>
      </c>
      <c r="E108" s="123"/>
      <c r="F108" s="120">
        <f>D108*F102/100</f>
        <v>0</v>
      </c>
    </row>
    <row r="109" spans="1:11" ht="20.100000000000001" customHeight="1" thickBot="1" x14ac:dyDescent="0.3">
      <c r="A109" s="128">
        <v>6.3</v>
      </c>
      <c r="B109" s="222" t="s">
        <v>301</v>
      </c>
      <c r="C109" s="815"/>
      <c r="D109" s="815"/>
      <c r="E109" s="815"/>
      <c r="F109" s="124">
        <f>(F108-F95)</f>
        <v>-9111.27</v>
      </c>
    </row>
    <row r="110" spans="1:11" ht="20.100000000000001" customHeight="1" thickBot="1" x14ac:dyDescent="0.3">
      <c r="B110" s="104"/>
      <c r="C110" s="105"/>
      <c r="D110" s="104"/>
      <c r="E110" s="104"/>
      <c r="F110" s="112"/>
    </row>
    <row r="111" spans="1:11" ht="20.100000000000001" customHeight="1" x14ac:dyDescent="0.25">
      <c r="A111" s="223" t="s">
        <v>267</v>
      </c>
      <c r="B111" s="94" t="s">
        <v>290</v>
      </c>
      <c r="C111" s="95"/>
      <c r="D111" s="96"/>
      <c r="E111" s="96"/>
      <c r="F111" s="216"/>
    </row>
    <row r="112" spans="1:11" ht="20.100000000000001" customHeight="1" x14ac:dyDescent="0.25">
      <c r="A112" s="72">
        <v>7.1</v>
      </c>
      <c r="B112" s="201" t="s">
        <v>291</v>
      </c>
      <c r="C112" s="816"/>
      <c r="D112" s="816"/>
      <c r="E112" s="816"/>
      <c r="F112" s="221">
        <f>(F102)</f>
        <v>0</v>
      </c>
      <c r="H112" s="33"/>
      <c r="K112" s="32"/>
    </row>
    <row r="113" spans="1:11" ht="20.100000000000001" customHeight="1" x14ac:dyDescent="0.25">
      <c r="A113" s="224">
        <v>7.2</v>
      </c>
      <c r="B113" s="201" t="s">
        <v>292</v>
      </c>
      <c r="C113" s="816"/>
      <c r="D113" s="816"/>
      <c r="E113" s="816"/>
      <c r="F113" s="221">
        <f>(F95)</f>
        <v>9111.27</v>
      </c>
      <c r="H113" s="33"/>
      <c r="K113" s="33"/>
    </row>
    <row r="114" spans="1:11" ht="20.100000000000001" customHeight="1" x14ac:dyDescent="0.25">
      <c r="A114" s="224">
        <v>7.3</v>
      </c>
      <c r="B114" s="201" t="s">
        <v>293</v>
      </c>
      <c r="C114" s="816"/>
      <c r="D114" s="816"/>
      <c r="E114" s="816"/>
      <c r="F114" s="221">
        <f>(F112-F113)</f>
        <v>-9111.27</v>
      </c>
    </row>
    <row r="115" spans="1:11" ht="20.100000000000001" customHeight="1" x14ac:dyDescent="0.25">
      <c r="A115" s="224">
        <v>7.4</v>
      </c>
      <c r="B115" s="201" t="s">
        <v>294</v>
      </c>
      <c r="C115" s="816"/>
      <c r="D115" s="816"/>
      <c r="E115" s="816"/>
      <c r="F115" s="254">
        <f>+F101</f>
        <v>0</v>
      </c>
    </row>
    <row r="116" spans="1:11" ht="20.100000000000001" customHeight="1" x14ac:dyDescent="0.25">
      <c r="A116" s="224">
        <v>7.5</v>
      </c>
      <c r="B116" s="201" t="s">
        <v>295</v>
      </c>
      <c r="C116" s="816"/>
      <c r="D116" s="816"/>
      <c r="E116" s="816"/>
      <c r="F116" s="254" t="e">
        <f>(F95/F100)</f>
        <v>#DIV/0!</v>
      </c>
    </row>
    <row r="117" spans="1:11" ht="20.100000000000001" customHeight="1" x14ac:dyDescent="0.25">
      <c r="A117" s="224">
        <v>7.6</v>
      </c>
      <c r="B117" s="201" t="s">
        <v>296</v>
      </c>
      <c r="C117" s="816"/>
      <c r="D117" s="816"/>
      <c r="E117" s="816"/>
      <c r="F117" s="254" t="e">
        <f>(F115-F116)</f>
        <v>#DIV/0!</v>
      </c>
    </row>
    <row r="118" spans="1:11" ht="20.100000000000001" customHeight="1" x14ac:dyDescent="0.25">
      <c r="A118" s="224">
        <v>7.7</v>
      </c>
      <c r="B118" s="201" t="s">
        <v>297</v>
      </c>
      <c r="C118" s="816"/>
      <c r="D118" s="816"/>
      <c r="E118" s="816"/>
      <c r="F118" s="221">
        <f>(F109)</f>
        <v>-9111.27</v>
      </c>
    </row>
    <row r="119" spans="1:11" ht="20.100000000000001" customHeight="1" thickBot="1" x14ac:dyDescent="0.3">
      <c r="A119" s="225">
        <v>7.8</v>
      </c>
      <c r="B119" s="222" t="s">
        <v>298</v>
      </c>
      <c r="C119" s="811"/>
      <c r="D119" s="811"/>
      <c r="E119" s="811"/>
      <c r="F119" s="124">
        <f>(F118/F113)*100</f>
        <v>-100</v>
      </c>
    </row>
    <row r="120" spans="1:11" x14ac:dyDescent="0.25">
      <c r="B120" s="104"/>
      <c r="C120" s="105"/>
      <c r="D120" s="104"/>
      <c r="E120" s="104"/>
      <c r="F120" s="104"/>
    </row>
    <row r="121" spans="1:11" x14ac:dyDescent="0.25">
      <c r="B121" s="104" t="s">
        <v>159</v>
      </c>
      <c r="C121" s="105"/>
      <c r="D121" s="104"/>
      <c r="E121" s="104"/>
      <c r="F121" s="104"/>
    </row>
    <row r="122" spans="1:11" x14ac:dyDescent="0.25">
      <c r="B122" s="104" t="s">
        <v>160</v>
      </c>
      <c r="C122" s="105"/>
      <c r="D122" s="104"/>
      <c r="E122" s="104"/>
      <c r="F122" s="104"/>
    </row>
    <row r="123" spans="1:11" x14ac:dyDescent="0.25">
      <c r="B123" s="104" t="s">
        <v>161</v>
      </c>
      <c r="C123" s="71"/>
      <c r="D123" s="55"/>
      <c r="E123" s="55"/>
      <c r="F123" s="55"/>
    </row>
    <row r="124" spans="1:11" x14ac:dyDescent="0.25">
      <c r="C124" s="34"/>
    </row>
    <row r="125" spans="1:11" x14ac:dyDescent="0.25">
      <c r="C125" s="34"/>
    </row>
    <row r="126" spans="1:11" x14ac:dyDescent="0.25">
      <c r="C126" s="34"/>
    </row>
    <row r="127" spans="1:11" x14ac:dyDescent="0.25">
      <c r="C127" s="34"/>
    </row>
    <row r="128" spans="1:11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  <row r="178" spans="3:3" x14ac:dyDescent="0.25">
      <c r="C178" s="34"/>
    </row>
    <row r="179" spans="3:3" x14ac:dyDescent="0.25">
      <c r="C179" s="34"/>
    </row>
    <row r="180" spans="3:3" x14ac:dyDescent="0.25">
      <c r="C180" s="34"/>
    </row>
    <row r="181" spans="3:3" x14ac:dyDescent="0.25">
      <c r="C181" s="34"/>
    </row>
    <row r="182" spans="3:3" x14ac:dyDescent="0.25">
      <c r="C182" s="34"/>
    </row>
    <row r="183" spans="3:3" x14ac:dyDescent="0.25">
      <c r="C183" s="34"/>
    </row>
    <row r="184" spans="3:3" x14ac:dyDescent="0.25">
      <c r="C184" s="34"/>
    </row>
    <row r="185" spans="3:3" x14ac:dyDescent="0.25">
      <c r="C185" s="34"/>
    </row>
    <row r="186" spans="3:3" x14ac:dyDescent="0.25">
      <c r="C186" s="34"/>
    </row>
    <row r="187" spans="3:3" x14ac:dyDescent="0.25">
      <c r="C187" s="34"/>
    </row>
    <row r="188" spans="3:3" x14ac:dyDescent="0.25">
      <c r="C188" s="34"/>
    </row>
    <row r="189" spans="3:3" x14ac:dyDescent="0.25">
      <c r="C189" s="34"/>
    </row>
    <row r="190" spans="3:3" x14ac:dyDescent="0.25">
      <c r="C190" s="34"/>
    </row>
    <row r="191" spans="3:3" x14ac:dyDescent="0.25">
      <c r="C191" s="34"/>
    </row>
    <row r="192" spans="3:3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  <row r="235" spans="3:3" x14ac:dyDescent="0.25">
      <c r="C235" s="34"/>
    </row>
    <row r="236" spans="3:3" x14ac:dyDescent="0.25">
      <c r="C236" s="34"/>
    </row>
    <row r="237" spans="3:3" x14ac:dyDescent="0.25">
      <c r="C237" s="34"/>
    </row>
    <row r="238" spans="3:3" x14ac:dyDescent="0.25">
      <c r="C238" s="34"/>
    </row>
  </sheetData>
  <sheetProtection algorithmName="SHA-512" hashValue="wFQOAvxdgLVGRglpLxrx/6lUmWVijEAPHpg9s5sKEbrs21wh7fDPFSn3Sf7AGyYII4hfySynq+EIBKwLDigxtw==" saltValue="a71AWfktToPtO355Zlb0Hg==" spinCount="100000" sheet="1" objects="1" scenarios="1" formatRows="0"/>
  <customSheetViews>
    <customSheetView guid="{2A80C2AF-315E-48B4-AB4B-22B0028E8CB4}" scale="70">
      <pane ySplit="4" topLeftCell="A5" activePane="bottomLeft" state="frozen"/>
      <selection pane="bottomLeft" activeCell="J13" sqref="J13"/>
      <pageMargins left="0.7" right="0.7" top="0.75" bottom="0.75" header="0.3" footer="0.3"/>
      <pageSetup paperSize="9" orientation="portrait" r:id="rId1"/>
    </customSheetView>
  </customSheetViews>
  <mergeCells count="55">
    <mergeCell ref="B1:B2"/>
    <mergeCell ref="C1:C2"/>
    <mergeCell ref="D1:D2"/>
    <mergeCell ref="E8:F8"/>
    <mergeCell ref="C31:D31"/>
    <mergeCell ref="C14:D14"/>
    <mergeCell ref="C22:D22"/>
    <mergeCell ref="E31:F31"/>
    <mergeCell ref="C26:D26"/>
    <mergeCell ref="C17:D17"/>
    <mergeCell ref="C119:E119"/>
    <mergeCell ref="C109:E109"/>
    <mergeCell ref="C112:E112"/>
    <mergeCell ref="C113:E113"/>
    <mergeCell ref="C114:E114"/>
    <mergeCell ref="C116:E116"/>
    <mergeCell ref="C117:E117"/>
    <mergeCell ref="C118:E118"/>
    <mergeCell ref="C115:E115"/>
    <mergeCell ref="E32:F32"/>
    <mergeCell ref="C32:D32"/>
    <mergeCell ref="E16:F16"/>
    <mergeCell ref="E13:F13"/>
    <mergeCell ref="E14:F14"/>
    <mergeCell ref="E15:F15"/>
    <mergeCell ref="C25:D25"/>
    <mergeCell ref="C30:D30"/>
    <mergeCell ref="B102:D102"/>
    <mergeCell ref="C33:D33"/>
    <mergeCell ref="B37:F37"/>
    <mergeCell ref="C39:C41"/>
    <mergeCell ref="D39:D41"/>
    <mergeCell ref="C35:D35"/>
    <mergeCell ref="E39:E41"/>
    <mergeCell ref="E33:F33"/>
    <mergeCell ref="B100:D100"/>
    <mergeCell ref="B101:D101"/>
    <mergeCell ref="E34:F34"/>
    <mergeCell ref="E35:F35"/>
    <mergeCell ref="A39:A41"/>
    <mergeCell ref="C34:D34"/>
    <mergeCell ref="F39:F41"/>
    <mergeCell ref="B39:B41"/>
    <mergeCell ref="A6:B6"/>
    <mergeCell ref="A8:D8"/>
    <mergeCell ref="E30:F30"/>
    <mergeCell ref="E17:F17"/>
    <mergeCell ref="C23:D23"/>
    <mergeCell ref="C24:D24"/>
    <mergeCell ref="E12:F12"/>
    <mergeCell ref="C21:D21"/>
    <mergeCell ref="C15:D15"/>
    <mergeCell ref="C12:D12"/>
    <mergeCell ref="C13:D13"/>
    <mergeCell ref="C16:D16"/>
  </mergeCells>
  <conditionalFormatting sqref="F119">
    <cfRule type="cellIs" dxfId="52" priority="1" stopIfTrue="1" operator="greaterThan">
      <formula>11</formula>
    </cfRule>
    <cfRule type="cellIs" dxfId="51" priority="2" stopIfTrue="1" operator="lessThan">
      <formula>12</formula>
    </cfRule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M340"/>
  <sheetViews>
    <sheetView showRuler="0" topLeftCell="A136" zoomScale="60" zoomScaleNormal="60" zoomScalePageLayoutView="70" workbookViewId="0">
      <selection activeCell="E142" sqref="E142"/>
    </sheetView>
  </sheetViews>
  <sheetFormatPr defaultRowHeight="15" customHeight="1" x14ac:dyDescent="0.25"/>
  <cols>
    <col min="1" max="1" width="17.7109375" style="1" customWidth="1"/>
    <col min="2" max="2" width="9.5703125" style="1" customWidth="1"/>
    <col min="3" max="3" width="32.7109375" style="1" customWidth="1"/>
    <col min="4" max="11" width="17.7109375" style="1" customWidth="1"/>
    <col min="12" max="12" width="7.140625" style="1" customWidth="1"/>
    <col min="13" max="256" width="11.42578125" customWidth="1"/>
  </cols>
  <sheetData>
    <row r="1" spans="1:12" ht="5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53.25" customHeight="1" thickBot="1" x14ac:dyDescent="0.3">
      <c r="A2" s="945" t="s">
        <v>314</v>
      </c>
      <c r="B2" s="946"/>
      <c r="C2" s="946"/>
      <c r="D2" s="946"/>
      <c r="E2" s="946"/>
      <c r="F2" s="946"/>
      <c r="G2" s="946"/>
      <c r="H2" s="946"/>
      <c r="I2" s="946"/>
      <c r="J2" s="946"/>
      <c r="K2" s="947"/>
    </row>
    <row r="3" spans="1:12" ht="15" customHeight="1" x14ac:dyDescent="0.25">
      <c r="A3" s="15"/>
      <c r="B3" s="324"/>
      <c r="C3" s="324"/>
      <c r="D3" s="324"/>
      <c r="E3" s="324"/>
      <c r="F3" s="324"/>
      <c r="G3" s="324"/>
      <c r="H3" s="7"/>
      <c r="I3" s="7"/>
      <c r="J3" s="7"/>
      <c r="K3" s="16"/>
    </row>
    <row r="4" spans="1:12" ht="15" customHeight="1" x14ac:dyDescent="0.25">
      <c r="A4" s="335" t="s">
        <v>204</v>
      </c>
      <c r="B4" s="336"/>
      <c r="C4" s="336"/>
      <c r="D4" s="336"/>
      <c r="E4" s="336"/>
      <c r="F4" s="336"/>
      <c r="G4" s="336"/>
      <c r="H4" s="337"/>
      <c r="I4" s="337"/>
      <c r="J4" s="337"/>
      <c r="K4" s="338"/>
    </row>
    <row r="5" spans="1:12" ht="15" customHeight="1" thickBot="1" x14ac:dyDescent="0.3">
      <c r="A5" s="339"/>
      <c r="B5" s="336"/>
      <c r="C5" s="336"/>
      <c r="D5" s="336"/>
      <c r="E5" s="336"/>
      <c r="F5" s="336"/>
      <c r="G5" s="336"/>
      <c r="H5" s="337"/>
      <c r="I5" s="337"/>
      <c r="J5" s="337"/>
      <c r="K5" s="338"/>
    </row>
    <row r="6" spans="1:12" s="12" customFormat="1" ht="30" customHeight="1" thickBot="1" x14ac:dyDescent="0.3">
      <c r="A6" s="340" t="s">
        <v>0</v>
      </c>
      <c r="B6" s="341"/>
      <c r="C6" s="342"/>
      <c r="D6" s="1051" t="s">
        <v>433</v>
      </c>
      <c r="E6" s="1052"/>
      <c r="F6" s="1053"/>
      <c r="G6" s="343"/>
      <c r="H6" s="344" t="s">
        <v>118</v>
      </c>
      <c r="I6" s="345"/>
      <c r="J6" s="1065">
        <v>42997</v>
      </c>
      <c r="K6" s="1053"/>
      <c r="L6" s="22"/>
    </row>
    <row r="7" spans="1:12" s="12" customFormat="1" ht="15" customHeight="1" thickBot="1" x14ac:dyDescent="0.3">
      <c r="A7" s="346"/>
      <c r="B7" s="343"/>
      <c r="C7" s="343"/>
      <c r="D7" s="343"/>
      <c r="E7" s="343"/>
      <c r="F7" s="347"/>
      <c r="G7" s="347"/>
      <c r="H7" s="347"/>
      <c r="I7" s="347"/>
      <c r="J7" s="347"/>
      <c r="K7" s="348"/>
      <c r="L7" s="22"/>
    </row>
    <row r="8" spans="1:12" s="12" customFormat="1" ht="45.75" customHeight="1" thickBot="1" x14ac:dyDescent="0.3">
      <c r="A8" s="349" t="s">
        <v>123</v>
      </c>
      <c r="B8" s="350"/>
      <c r="C8" s="350"/>
      <c r="D8" s="1062" t="s">
        <v>434</v>
      </c>
      <c r="E8" s="1063"/>
      <c r="F8" s="1063"/>
      <c r="G8" s="1063"/>
      <c r="H8" s="1063"/>
      <c r="I8" s="1063"/>
      <c r="J8" s="1063"/>
      <c r="K8" s="1064"/>
      <c r="L8" s="22"/>
    </row>
    <row r="9" spans="1:12" s="12" customFormat="1" ht="10.5" customHeight="1" x14ac:dyDescent="0.25">
      <c r="A9" s="346"/>
      <c r="B9" s="343"/>
      <c r="C9" s="343"/>
      <c r="D9" s="343"/>
      <c r="E9" s="343"/>
      <c r="F9" s="347"/>
      <c r="G9" s="347"/>
      <c r="H9" s="347"/>
      <c r="I9" s="347"/>
      <c r="J9" s="347"/>
      <c r="K9" s="348"/>
      <c r="L9" s="22"/>
    </row>
    <row r="10" spans="1:12" s="12" customFormat="1" ht="10.5" customHeight="1" x14ac:dyDescent="0.25">
      <c r="A10" s="346"/>
      <c r="B10" s="343"/>
      <c r="C10" s="343"/>
      <c r="D10" s="343"/>
      <c r="E10" s="343"/>
      <c r="F10" s="347"/>
      <c r="G10" s="347"/>
      <c r="H10" s="347"/>
      <c r="I10" s="347"/>
      <c r="J10" s="347"/>
      <c r="K10" s="348"/>
      <c r="L10" s="22"/>
    </row>
    <row r="11" spans="1:12" s="12" customFormat="1" ht="26.25" customHeight="1" thickBot="1" x14ac:dyDescent="0.3">
      <c r="A11" s="1067" t="s">
        <v>124</v>
      </c>
      <c r="B11" s="1068"/>
      <c r="C11" s="1068"/>
      <c r="D11" s="351"/>
      <c r="E11" s="343"/>
      <c r="F11" s="347"/>
      <c r="G11" s="347"/>
      <c r="H11" s="347"/>
      <c r="I11" s="347"/>
      <c r="J11" s="347"/>
      <c r="K11" s="348"/>
      <c r="L11" s="22"/>
    </row>
    <row r="12" spans="1:12" s="12" customFormat="1" ht="30" customHeight="1" x14ac:dyDescent="0.25">
      <c r="A12" s="918" t="s">
        <v>1</v>
      </c>
      <c r="B12" s="918"/>
      <c r="C12" s="1066"/>
      <c r="D12" s="1074" t="s">
        <v>435</v>
      </c>
      <c r="E12" s="1075"/>
      <c r="F12" s="1076"/>
      <c r="G12" s="352"/>
      <c r="H12" s="352"/>
      <c r="I12" s="352"/>
      <c r="J12" s="352"/>
      <c r="K12" s="353"/>
      <c r="L12" s="22"/>
    </row>
    <row r="13" spans="1:12" s="12" customFormat="1" ht="30" customHeight="1" x14ac:dyDescent="0.25">
      <c r="A13" s="927" t="s">
        <v>2</v>
      </c>
      <c r="B13" s="927"/>
      <c r="C13" s="937"/>
      <c r="D13" s="1077" t="s">
        <v>436</v>
      </c>
      <c r="E13" s="1078"/>
      <c r="F13" s="1079"/>
      <c r="G13" s="352"/>
      <c r="H13" s="352"/>
      <c r="I13" s="352"/>
      <c r="J13" s="352"/>
      <c r="K13" s="353"/>
      <c r="L13" s="22"/>
    </row>
    <row r="14" spans="1:12" s="12" customFormat="1" ht="30" customHeight="1" x14ac:dyDescent="0.25">
      <c r="A14" s="927" t="s">
        <v>3</v>
      </c>
      <c r="B14" s="927"/>
      <c r="C14" s="937"/>
      <c r="D14" s="1077" t="s">
        <v>437</v>
      </c>
      <c r="E14" s="1078"/>
      <c r="F14" s="1079"/>
      <c r="G14" s="352"/>
      <c r="H14" s="352"/>
      <c r="I14" s="352"/>
      <c r="J14" s="352"/>
      <c r="K14" s="353"/>
      <c r="L14" s="22"/>
    </row>
    <row r="15" spans="1:12" s="12" customFormat="1" ht="30" customHeight="1" thickBot="1" x14ac:dyDescent="0.3">
      <c r="A15" s="1083" t="s">
        <v>4</v>
      </c>
      <c r="B15" s="1083"/>
      <c r="C15" s="1084"/>
      <c r="D15" s="1080"/>
      <c r="E15" s="1081"/>
      <c r="F15" s="1082"/>
      <c r="G15" s="352"/>
      <c r="H15" s="352"/>
      <c r="I15" s="352"/>
      <c r="J15" s="352"/>
      <c r="K15" s="353"/>
      <c r="L15" s="22"/>
    </row>
    <row r="16" spans="1:12" s="12" customFormat="1" ht="27.75" customHeight="1" x14ac:dyDescent="0.25">
      <c r="A16" s="354"/>
      <c r="B16" s="355"/>
      <c r="C16" s="355"/>
      <c r="D16" s="356"/>
      <c r="E16" s="356"/>
      <c r="F16" s="357"/>
      <c r="G16" s="357"/>
      <c r="H16" s="357"/>
      <c r="I16" s="357"/>
      <c r="J16" s="357"/>
      <c r="K16" s="358"/>
      <c r="L16" s="22"/>
    </row>
    <row r="17" spans="1:12" s="12" customFormat="1" ht="27.75" customHeight="1" thickBot="1" x14ac:dyDescent="0.3">
      <c r="A17" s="1067" t="s">
        <v>5</v>
      </c>
      <c r="B17" s="1068"/>
      <c r="C17" s="1068"/>
      <c r="D17" s="356"/>
      <c r="E17" s="356"/>
      <c r="F17" s="357"/>
      <c r="G17" s="357"/>
      <c r="H17" s="357"/>
      <c r="I17" s="357"/>
      <c r="J17" s="357"/>
      <c r="K17" s="358"/>
      <c r="L17" s="22"/>
    </row>
    <row r="18" spans="1:12" s="12" customFormat="1" ht="24.95" customHeight="1" x14ac:dyDescent="0.25">
      <c r="A18" s="918" t="s">
        <v>6</v>
      </c>
      <c r="B18" s="918"/>
      <c r="C18" s="1066"/>
      <c r="D18" s="1054" t="s">
        <v>438</v>
      </c>
      <c r="E18" s="1055"/>
      <c r="F18" s="1056"/>
      <c r="G18" s="352"/>
      <c r="H18" s="352"/>
      <c r="I18" s="352"/>
      <c r="J18" s="352"/>
      <c r="K18" s="353"/>
      <c r="L18" s="22"/>
    </row>
    <row r="19" spans="1:12" s="12" customFormat="1" ht="24.95" customHeight="1" x14ac:dyDescent="0.25">
      <c r="A19" s="927" t="s">
        <v>7</v>
      </c>
      <c r="B19" s="927"/>
      <c r="C19" s="937"/>
      <c r="D19" s="1057" t="s">
        <v>439</v>
      </c>
      <c r="E19" s="1058"/>
      <c r="F19" s="1059"/>
      <c r="G19" s="352"/>
      <c r="H19" s="352"/>
      <c r="I19" s="352"/>
      <c r="J19" s="352"/>
      <c r="K19" s="353"/>
      <c r="L19" s="22"/>
    </row>
    <row r="20" spans="1:12" s="12" customFormat="1" ht="24.95" customHeight="1" thickBot="1" x14ac:dyDescent="0.3">
      <c r="A20" s="871" t="s">
        <v>8</v>
      </c>
      <c r="B20" s="871"/>
      <c r="C20" s="1073"/>
      <c r="D20" s="1080" t="s">
        <v>440</v>
      </c>
      <c r="E20" s="1081"/>
      <c r="F20" s="1082"/>
      <c r="G20" s="347"/>
      <c r="H20" s="347"/>
      <c r="I20" s="347"/>
      <c r="J20" s="347"/>
      <c r="K20" s="348"/>
      <c r="L20" s="22"/>
    </row>
    <row r="21" spans="1:12" ht="23.25" customHeight="1" x14ac:dyDescent="0.25">
      <c r="A21" s="359"/>
      <c r="B21" s="360"/>
      <c r="C21" s="360"/>
      <c r="D21" s="360"/>
      <c r="E21" s="360"/>
      <c r="F21" s="343"/>
      <c r="G21" s="343"/>
      <c r="H21" s="343"/>
      <c r="I21" s="343"/>
      <c r="J21" s="343"/>
      <c r="K21" s="361"/>
      <c r="L21" s="25"/>
    </row>
    <row r="22" spans="1:12" ht="15" customHeight="1" x14ac:dyDescent="0.25">
      <c r="A22" s="362"/>
      <c r="B22" s="347"/>
      <c r="C22" s="347"/>
      <c r="D22" s="347"/>
      <c r="E22" s="347"/>
      <c r="F22" s="347"/>
      <c r="G22" s="347"/>
      <c r="H22" s="347"/>
      <c r="I22" s="347"/>
      <c r="J22" s="347"/>
      <c r="K22" s="348"/>
      <c r="L22" s="25"/>
    </row>
    <row r="23" spans="1:12" ht="22.5" customHeight="1" x14ac:dyDescent="0.25">
      <c r="A23" s="882" t="s">
        <v>205</v>
      </c>
      <c r="B23" s="883"/>
      <c r="C23" s="883"/>
      <c r="D23" s="883"/>
      <c r="E23" s="883"/>
      <c r="F23" s="883"/>
      <c r="G23" s="883"/>
      <c r="H23" s="883"/>
      <c r="I23" s="883"/>
      <c r="J23" s="883"/>
      <c r="K23" s="884"/>
      <c r="L23" s="25"/>
    </row>
    <row r="24" spans="1:12" ht="38.25" customHeight="1" x14ac:dyDescent="0.25">
      <c r="A24" s="959" t="s">
        <v>216</v>
      </c>
      <c r="B24" s="935"/>
      <c r="C24" s="935"/>
      <c r="D24" s="935"/>
      <c r="E24" s="355"/>
      <c r="F24" s="355"/>
      <c r="G24" s="355"/>
      <c r="H24" s="356"/>
      <c r="I24" s="356"/>
      <c r="J24" s="356"/>
      <c r="K24" s="363"/>
      <c r="L24" s="25"/>
    </row>
    <row r="25" spans="1:12" ht="22.5" customHeight="1" thickBot="1" x14ac:dyDescent="0.3">
      <c r="A25" s="1067" t="s">
        <v>121</v>
      </c>
      <c r="B25" s="1068"/>
      <c r="C25" s="1068"/>
      <c r="D25" s="1068"/>
      <c r="E25" s="1068"/>
      <c r="F25" s="1068"/>
      <c r="G25" s="1068"/>
      <c r="H25" s="1068"/>
      <c r="I25" s="1068"/>
      <c r="J25" s="1068"/>
      <c r="K25" s="1071"/>
      <c r="L25" s="25"/>
    </row>
    <row r="26" spans="1:12" ht="24.95" customHeight="1" x14ac:dyDescent="0.25">
      <c r="A26" s="1085" t="s">
        <v>9</v>
      </c>
      <c r="B26" s="1086"/>
      <c r="C26" s="364" t="s">
        <v>10</v>
      </c>
      <c r="D26" s="1069" t="s">
        <v>11</v>
      </c>
      <c r="E26" s="1070"/>
      <c r="F26" s="1069" t="s">
        <v>120</v>
      </c>
      <c r="G26" s="1070"/>
      <c r="H26" s="1069" t="s">
        <v>217</v>
      </c>
      <c r="I26" s="1072"/>
      <c r="J26" s="1170" t="s">
        <v>119</v>
      </c>
      <c r="K26" s="1171"/>
      <c r="L26" s="25"/>
    </row>
    <row r="27" spans="1:12" ht="24.95" customHeight="1" thickBot="1" x14ac:dyDescent="0.3">
      <c r="A27" s="1087"/>
      <c r="B27" s="1088"/>
      <c r="C27" s="365"/>
      <c r="D27" s="1060"/>
      <c r="E27" s="1061"/>
      <c r="F27" s="1060" t="s">
        <v>441</v>
      </c>
      <c r="G27" s="1061"/>
      <c r="H27" s="1060"/>
      <c r="I27" s="1089"/>
      <c r="J27" s="1087"/>
      <c r="K27" s="1088"/>
      <c r="L27" s="25"/>
    </row>
    <row r="28" spans="1:12" ht="15" customHeight="1" thickBot="1" x14ac:dyDescent="0.3">
      <c r="A28" s="366"/>
      <c r="B28" s="356"/>
      <c r="C28" s="356"/>
      <c r="D28" s="355"/>
      <c r="E28" s="355"/>
      <c r="F28" s="355"/>
      <c r="G28" s="355"/>
      <c r="H28" s="356"/>
      <c r="I28" s="356"/>
      <c r="J28" s="356"/>
      <c r="K28" s="363"/>
      <c r="L28" s="25"/>
    </row>
    <row r="29" spans="1:12" s="12" customFormat="1" ht="30" customHeight="1" x14ac:dyDescent="0.25">
      <c r="A29" s="1099" t="s">
        <v>12</v>
      </c>
      <c r="B29" s="1100"/>
      <c r="C29" s="1101"/>
      <c r="D29" s="1092">
        <v>20135193152</v>
      </c>
      <c r="E29" s="1093"/>
      <c r="F29" s="1093"/>
      <c r="G29" s="1094"/>
      <c r="H29" s="352"/>
      <c r="I29" s="352"/>
      <c r="J29" s="352"/>
      <c r="K29" s="353"/>
      <c r="L29" s="22"/>
    </row>
    <row r="30" spans="1:12" s="12" customFormat="1" ht="30" customHeight="1" x14ac:dyDescent="0.25">
      <c r="A30" s="909" t="s">
        <v>13</v>
      </c>
      <c r="B30" s="909"/>
      <c r="C30" s="910"/>
      <c r="D30" s="1095" t="s">
        <v>442</v>
      </c>
      <c r="E30" s="1096"/>
      <c r="F30" s="1096"/>
      <c r="G30" s="1097"/>
      <c r="H30" s="352"/>
      <c r="I30" s="352"/>
      <c r="J30" s="352"/>
      <c r="K30" s="353"/>
      <c r="L30" s="22"/>
    </row>
    <row r="31" spans="1:12" s="12" customFormat="1" ht="30" customHeight="1" x14ac:dyDescent="0.25">
      <c r="A31" s="909" t="s">
        <v>14</v>
      </c>
      <c r="B31" s="909"/>
      <c r="C31" s="910"/>
      <c r="D31" s="1095" t="s">
        <v>443</v>
      </c>
      <c r="E31" s="1096"/>
      <c r="F31" s="1096"/>
      <c r="G31" s="1097"/>
      <c r="H31" s="352"/>
      <c r="I31" s="352"/>
      <c r="J31" s="352"/>
      <c r="K31" s="353"/>
      <c r="L31" s="22"/>
    </row>
    <row r="32" spans="1:12" s="12" customFormat="1" ht="30" customHeight="1" x14ac:dyDescent="0.25">
      <c r="A32" s="909" t="s">
        <v>15</v>
      </c>
      <c r="B32" s="909"/>
      <c r="C32" s="910"/>
      <c r="D32" s="1095" t="s">
        <v>444</v>
      </c>
      <c r="E32" s="1096"/>
      <c r="F32" s="1096"/>
      <c r="G32" s="1097"/>
      <c r="H32" s="352"/>
      <c r="I32" s="352"/>
      <c r="J32" s="352"/>
      <c r="K32" s="353"/>
      <c r="L32" s="22"/>
    </row>
    <row r="33" spans="1:12" s="12" customFormat="1" ht="30" customHeight="1" x14ac:dyDescent="0.25">
      <c r="A33" s="909" t="s">
        <v>16</v>
      </c>
      <c r="B33" s="909"/>
      <c r="C33" s="910"/>
      <c r="D33" s="1095" t="s">
        <v>445</v>
      </c>
      <c r="E33" s="1096"/>
      <c r="F33" s="1096"/>
      <c r="G33" s="1097"/>
      <c r="H33" s="352"/>
      <c r="I33" s="352"/>
      <c r="J33" s="352"/>
      <c r="K33" s="353"/>
      <c r="L33" s="22"/>
    </row>
    <row r="34" spans="1:12" s="12" customFormat="1" ht="30" customHeight="1" x14ac:dyDescent="0.25">
      <c r="A34" s="909" t="s">
        <v>17</v>
      </c>
      <c r="B34" s="909"/>
      <c r="C34" s="910"/>
      <c r="D34" s="1095" t="s">
        <v>446</v>
      </c>
      <c r="E34" s="1096"/>
      <c r="F34" s="1096"/>
      <c r="G34" s="1097"/>
      <c r="H34" s="352"/>
      <c r="I34" s="352"/>
      <c r="J34" s="352"/>
      <c r="K34" s="353"/>
      <c r="L34" s="22"/>
    </row>
    <row r="35" spans="1:12" s="12" customFormat="1" ht="30" customHeight="1" x14ac:dyDescent="0.25">
      <c r="A35" s="909" t="s">
        <v>29</v>
      </c>
      <c r="B35" s="909"/>
      <c r="C35" s="910"/>
      <c r="D35" s="1098" t="s">
        <v>447</v>
      </c>
      <c r="E35" s="1096"/>
      <c r="F35" s="1096"/>
      <c r="G35" s="1097"/>
      <c r="H35" s="352"/>
      <c r="I35" s="352"/>
      <c r="J35" s="352"/>
      <c r="K35" s="353"/>
      <c r="L35" s="22"/>
    </row>
    <row r="36" spans="1:12" s="12" customFormat="1" ht="30" customHeight="1" x14ac:dyDescent="0.25">
      <c r="A36" s="909" t="s">
        <v>18</v>
      </c>
      <c r="B36" s="909"/>
      <c r="C36" s="910"/>
      <c r="D36" s="1095" t="s">
        <v>448</v>
      </c>
      <c r="E36" s="1096"/>
      <c r="F36" s="1096"/>
      <c r="G36" s="1097"/>
      <c r="H36" s="352"/>
      <c r="I36" s="352"/>
      <c r="J36" s="352"/>
      <c r="K36" s="353"/>
      <c r="L36" s="22"/>
    </row>
    <row r="37" spans="1:12" s="12" customFormat="1" ht="30" customHeight="1" x14ac:dyDescent="0.25">
      <c r="A37" s="909" t="s">
        <v>19</v>
      </c>
      <c r="B37" s="909"/>
      <c r="C37" s="910"/>
      <c r="D37" s="1102">
        <v>28042</v>
      </c>
      <c r="E37" s="1096"/>
      <c r="F37" s="1096"/>
      <c r="G37" s="1097"/>
      <c r="H37" s="352"/>
      <c r="I37" s="352"/>
      <c r="J37" s="352"/>
      <c r="K37" s="353"/>
      <c r="L37" s="22"/>
    </row>
    <row r="38" spans="1:12" s="12" customFormat="1" ht="30" customHeight="1" x14ac:dyDescent="0.25">
      <c r="A38" s="909" t="s">
        <v>20</v>
      </c>
      <c r="B38" s="909"/>
      <c r="C38" s="910"/>
      <c r="D38" s="1095" t="s">
        <v>449</v>
      </c>
      <c r="E38" s="1096"/>
      <c r="F38" s="1096"/>
      <c r="G38" s="1097"/>
      <c r="H38" s="352"/>
      <c r="I38" s="352"/>
      <c r="J38" s="352"/>
      <c r="K38" s="353"/>
      <c r="L38" s="22"/>
    </row>
    <row r="39" spans="1:12" s="12" customFormat="1" ht="30" customHeight="1" x14ac:dyDescent="0.25">
      <c r="A39" s="909" t="s">
        <v>21</v>
      </c>
      <c r="B39" s="909"/>
      <c r="C39" s="910"/>
      <c r="D39" s="1095">
        <v>-15.65</v>
      </c>
      <c r="E39" s="1096"/>
      <c r="F39" s="1096"/>
      <c r="G39" s="1097"/>
      <c r="H39" s="352"/>
      <c r="I39" s="352"/>
      <c r="J39" s="352"/>
      <c r="K39" s="353"/>
      <c r="L39" s="22"/>
    </row>
    <row r="40" spans="1:12" s="12" customFormat="1" ht="30" customHeight="1" thickBot="1" x14ac:dyDescent="0.3">
      <c r="A40" s="909" t="s">
        <v>22</v>
      </c>
      <c r="B40" s="909"/>
      <c r="C40" s="910"/>
      <c r="D40" s="1095">
        <v>-71.650000000000006</v>
      </c>
      <c r="E40" s="1096"/>
      <c r="F40" s="1096"/>
      <c r="G40" s="1097"/>
      <c r="H40" s="352"/>
      <c r="I40" s="352"/>
      <c r="J40" s="352"/>
      <c r="K40" s="353"/>
      <c r="L40" s="22"/>
    </row>
    <row r="41" spans="1:12" s="12" customFormat="1" ht="30" customHeight="1" thickBot="1" x14ac:dyDescent="0.3">
      <c r="A41" s="1090" t="s">
        <v>122</v>
      </c>
      <c r="B41" s="1090"/>
      <c r="C41" s="1091"/>
      <c r="D41" s="367" t="s">
        <v>116</v>
      </c>
      <c r="E41" s="368">
        <v>28</v>
      </c>
      <c r="F41" s="369" t="s">
        <v>117</v>
      </c>
      <c r="G41" s="370">
        <v>14</v>
      </c>
      <c r="H41" s="344" t="s">
        <v>41</v>
      </c>
      <c r="I41" s="371">
        <f>E41+G41</f>
        <v>42</v>
      </c>
      <c r="J41" s="347"/>
      <c r="K41" s="348"/>
      <c r="L41" s="22"/>
    </row>
    <row r="42" spans="1:12" ht="19.5" customHeight="1" x14ac:dyDescent="0.25">
      <c r="A42" s="372"/>
      <c r="B42" s="373"/>
      <c r="C42" s="373"/>
      <c r="D42" s="373"/>
      <c r="E42" s="373"/>
      <c r="F42" s="373"/>
      <c r="G42" s="373"/>
      <c r="H42" s="373"/>
      <c r="I42" s="373"/>
      <c r="J42" s="373"/>
      <c r="K42" s="374"/>
    </row>
    <row r="43" spans="1:12" ht="24.75" customHeight="1" x14ac:dyDescent="0.25">
      <c r="A43" s="959" t="s">
        <v>192</v>
      </c>
      <c r="B43" s="935"/>
      <c r="C43" s="935"/>
      <c r="D43" s="935"/>
      <c r="E43" s="352"/>
      <c r="F43" s="352"/>
      <c r="G43" s="352"/>
      <c r="H43" s="352"/>
      <c r="I43" s="352"/>
      <c r="J43" s="352"/>
      <c r="K43" s="353"/>
      <c r="L43" s="25"/>
    </row>
    <row r="44" spans="1:12" ht="15" customHeight="1" x14ac:dyDescent="0.25">
      <c r="A44" s="362"/>
      <c r="B44" s="375"/>
      <c r="C44" s="375"/>
      <c r="D44" s="375"/>
      <c r="E44" s="375"/>
      <c r="F44" s="375"/>
      <c r="G44" s="375"/>
      <c r="H44" s="375"/>
      <c r="I44" s="375"/>
      <c r="J44" s="375"/>
      <c r="K44" s="376"/>
      <c r="L44" s="25"/>
    </row>
    <row r="45" spans="1:12" ht="15" customHeight="1" thickBot="1" x14ac:dyDescent="0.3">
      <c r="A45" s="366"/>
      <c r="B45" s="356"/>
      <c r="C45" s="356"/>
      <c r="D45" s="355"/>
      <c r="E45" s="355"/>
      <c r="F45" s="355"/>
      <c r="G45" s="355"/>
      <c r="H45" s="356"/>
      <c r="I45" s="356"/>
      <c r="J45" s="356"/>
      <c r="K45" s="363"/>
      <c r="L45" s="25"/>
    </row>
    <row r="46" spans="1:12" s="12" customFormat="1" ht="30" customHeight="1" x14ac:dyDescent="0.25">
      <c r="A46" s="917" t="s">
        <v>23</v>
      </c>
      <c r="B46" s="918"/>
      <c r="C46" s="919"/>
      <c r="D46" s="923">
        <v>20454823916</v>
      </c>
      <c r="E46" s="924"/>
      <c r="F46" s="924"/>
      <c r="G46" s="925"/>
      <c r="H46" s="347"/>
      <c r="I46" s="347"/>
      <c r="J46" s="347"/>
      <c r="K46" s="348"/>
      <c r="L46" s="22"/>
    </row>
    <row r="47" spans="1:12" s="12" customFormat="1" ht="30" customHeight="1" x14ac:dyDescent="0.25">
      <c r="A47" s="926" t="s">
        <v>24</v>
      </c>
      <c r="B47" s="927"/>
      <c r="C47" s="928"/>
      <c r="D47" s="967" t="s">
        <v>450</v>
      </c>
      <c r="E47" s="968"/>
      <c r="F47" s="968"/>
      <c r="G47" s="969"/>
      <c r="H47" s="347"/>
      <c r="I47" s="347"/>
      <c r="J47" s="347"/>
      <c r="K47" s="348"/>
      <c r="L47" s="22"/>
    </row>
    <row r="48" spans="1:12" s="12" customFormat="1" ht="30" customHeight="1" x14ac:dyDescent="0.25">
      <c r="A48" s="926" t="s">
        <v>14</v>
      </c>
      <c r="B48" s="927"/>
      <c r="C48" s="928"/>
      <c r="D48" s="967" t="s">
        <v>451</v>
      </c>
      <c r="E48" s="968"/>
      <c r="F48" s="968"/>
      <c r="G48" s="969"/>
      <c r="H48" s="347"/>
      <c r="I48" s="347"/>
      <c r="J48" s="347"/>
      <c r="K48" s="348"/>
      <c r="L48" s="22"/>
    </row>
    <row r="49" spans="1:12" s="12" customFormat="1" ht="30" customHeight="1" x14ac:dyDescent="0.25">
      <c r="A49" s="926" t="s">
        <v>25</v>
      </c>
      <c r="B49" s="927"/>
      <c r="C49" s="928"/>
      <c r="D49" s="967" t="s">
        <v>452</v>
      </c>
      <c r="E49" s="968"/>
      <c r="F49" s="968"/>
      <c r="G49" s="969"/>
      <c r="H49" s="347"/>
      <c r="I49" s="347"/>
      <c r="J49" s="347"/>
      <c r="K49" s="348"/>
      <c r="L49" s="22"/>
    </row>
    <row r="50" spans="1:12" s="12" customFormat="1" ht="30" customHeight="1" x14ac:dyDescent="0.25">
      <c r="A50" s="926" t="s">
        <v>26</v>
      </c>
      <c r="B50" s="927"/>
      <c r="C50" s="928"/>
      <c r="D50" s="967"/>
      <c r="E50" s="968"/>
      <c r="F50" s="968"/>
      <c r="G50" s="969"/>
      <c r="H50" s="347"/>
      <c r="I50" s="347"/>
      <c r="J50" s="347"/>
      <c r="K50" s="348"/>
      <c r="L50" s="22"/>
    </row>
    <row r="51" spans="1:12" s="12" customFormat="1" ht="30" customHeight="1" x14ac:dyDescent="0.25">
      <c r="A51" s="926" t="s">
        <v>27</v>
      </c>
      <c r="B51" s="927"/>
      <c r="C51" s="928"/>
      <c r="D51" s="967"/>
      <c r="E51" s="968"/>
      <c r="F51" s="968"/>
      <c r="G51" s="969"/>
      <c r="H51" s="347"/>
      <c r="I51" s="347"/>
      <c r="J51" s="347"/>
      <c r="K51" s="348"/>
      <c r="L51" s="22"/>
    </row>
    <row r="52" spans="1:12" s="12" customFormat="1" ht="30" customHeight="1" x14ac:dyDescent="0.25">
      <c r="A52" s="926" t="s">
        <v>28</v>
      </c>
      <c r="B52" s="927"/>
      <c r="C52" s="928"/>
      <c r="D52" s="967"/>
      <c r="E52" s="968"/>
      <c r="F52" s="968"/>
      <c r="G52" s="969"/>
      <c r="H52" s="347"/>
      <c r="I52" s="347"/>
      <c r="J52" s="347"/>
      <c r="K52" s="348"/>
      <c r="L52" s="22"/>
    </row>
    <row r="53" spans="1:12" s="12" customFormat="1" ht="30" customHeight="1" x14ac:dyDescent="0.25">
      <c r="A53" s="1127" t="s">
        <v>29</v>
      </c>
      <c r="B53" s="1128"/>
      <c r="C53" s="1129"/>
      <c r="D53" s="1130"/>
      <c r="E53" s="1131"/>
      <c r="F53" s="1131"/>
      <c r="G53" s="1132"/>
      <c r="H53" s="347"/>
      <c r="I53" s="347"/>
      <c r="J53" s="347"/>
      <c r="K53" s="348"/>
      <c r="L53" s="22"/>
    </row>
    <row r="54" spans="1:12" s="12" customFormat="1" ht="30" customHeight="1" x14ac:dyDescent="0.25">
      <c r="A54" s="1117" t="s">
        <v>493</v>
      </c>
      <c r="B54" s="1118"/>
      <c r="C54" s="1119"/>
      <c r="D54" s="1120" t="s">
        <v>492</v>
      </c>
      <c r="E54" s="1121"/>
      <c r="F54" s="1121"/>
      <c r="G54" s="1122"/>
      <c r="H54" s="347"/>
      <c r="I54" s="347"/>
      <c r="J54" s="347"/>
      <c r="K54" s="348"/>
      <c r="L54" s="22"/>
    </row>
    <row r="55" spans="1:12" s="12" customFormat="1" ht="30" customHeight="1" thickBot="1" x14ac:dyDescent="0.3">
      <c r="A55" s="1111" t="s">
        <v>490</v>
      </c>
      <c r="B55" s="1112"/>
      <c r="C55" s="1113"/>
      <c r="D55" s="1114" t="s">
        <v>491</v>
      </c>
      <c r="E55" s="1115"/>
      <c r="F55" s="1115"/>
      <c r="G55" s="1116"/>
      <c r="H55" s="347"/>
      <c r="I55" s="347"/>
      <c r="J55" s="347"/>
      <c r="K55" s="348"/>
      <c r="L55" s="22"/>
    </row>
    <row r="56" spans="1:12" ht="23.25" customHeight="1" x14ac:dyDescent="0.25">
      <c r="A56" s="346"/>
      <c r="B56" s="343"/>
      <c r="C56" s="343"/>
      <c r="D56" s="343"/>
      <c r="E56" s="343"/>
      <c r="F56" s="343"/>
      <c r="G56" s="343"/>
      <c r="H56" s="343"/>
      <c r="I56" s="343"/>
      <c r="J56" s="343"/>
      <c r="K56" s="361"/>
      <c r="L56" s="25"/>
    </row>
    <row r="57" spans="1:12" ht="23.25" customHeight="1" x14ac:dyDescent="0.25">
      <c r="A57" s="959" t="s">
        <v>193</v>
      </c>
      <c r="B57" s="935"/>
      <c r="C57" s="935"/>
      <c r="D57" s="935"/>
      <c r="E57" s="343"/>
      <c r="F57" s="343"/>
      <c r="G57" s="343"/>
      <c r="H57" s="343"/>
      <c r="I57" s="343"/>
      <c r="J57" s="343"/>
      <c r="K57" s="361"/>
      <c r="L57" s="25"/>
    </row>
    <row r="58" spans="1:12" ht="23.25" customHeight="1" thickBot="1" x14ac:dyDescent="0.3">
      <c r="A58" s="346"/>
      <c r="B58" s="343"/>
      <c r="C58" s="343"/>
      <c r="D58" s="343"/>
      <c r="E58" s="343"/>
      <c r="F58" s="343"/>
      <c r="G58" s="343"/>
      <c r="H58" s="343"/>
      <c r="I58" s="343"/>
      <c r="J58" s="343"/>
      <c r="K58" s="361"/>
      <c r="L58" s="25"/>
    </row>
    <row r="59" spans="1:12" ht="23.25" customHeight="1" x14ac:dyDescent="0.25">
      <c r="A59" s="956"/>
      <c r="B59" s="957"/>
      <c r="C59" s="957"/>
      <c r="D59" s="957"/>
      <c r="E59" s="957"/>
      <c r="F59" s="957"/>
      <c r="G59" s="958"/>
      <c r="H59" s="347"/>
      <c r="I59" s="347"/>
      <c r="J59" s="347"/>
      <c r="K59" s="348"/>
      <c r="L59" s="25"/>
    </row>
    <row r="60" spans="1:12" ht="23.25" customHeight="1" x14ac:dyDescent="0.25">
      <c r="A60" s="1125"/>
      <c r="B60" s="1121"/>
      <c r="C60" s="1121"/>
      <c r="D60" s="1121"/>
      <c r="E60" s="1121"/>
      <c r="F60" s="1121"/>
      <c r="G60" s="1122"/>
      <c r="H60" s="347"/>
      <c r="I60" s="347"/>
      <c r="J60" s="347"/>
      <c r="K60" s="348"/>
      <c r="L60" s="25"/>
    </row>
    <row r="61" spans="1:12" ht="23.25" customHeight="1" thickBot="1" x14ac:dyDescent="0.3">
      <c r="A61" s="1126"/>
      <c r="B61" s="1115"/>
      <c r="C61" s="1115"/>
      <c r="D61" s="1115"/>
      <c r="E61" s="1115"/>
      <c r="F61" s="1115"/>
      <c r="G61" s="1116"/>
      <c r="H61" s="347"/>
      <c r="I61" s="347"/>
      <c r="J61" s="347"/>
      <c r="K61" s="348"/>
      <c r="L61" s="25"/>
    </row>
    <row r="62" spans="1:12" ht="23.25" customHeight="1" x14ac:dyDescent="0.25">
      <c r="A62" s="346"/>
      <c r="B62" s="343"/>
      <c r="C62" s="343"/>
      <c r="D62" s="343"/>
      <c r="E62" s="343"/>
      <c r="F62" s="343"/>
      <c r="G62" s="343"/>
      <c r="H62" s="343"/>
      <c r="I62" s="343"/>
      <c r="J62" s="343"/>
      <c r="K62" s="361"/>
      <c r="L62" s="25"/>
    </row>
    <row r="63" spans="1:12" ht="21" customHeight="1" x14ac:dyDescent="0.25">
      <c r="A63" s="377"/>
      <c r="B63" s="336"/>
      <c r="C63" s="336"/>
      <c r="D63" s="336"/>
      <c r="E63" s="336"/>
      <c r="F63" s="337"/>
      <c r="G63" s="337"/>
      <c r="H63" s="337"/>
      <c r="I63" s="337"/>
      <c r="J63" s="337"/>
      <c r="K63" s="338"/>
    </row>
    <row r="64" spans="1:12" ht="30" customHeight="1" x14ac:dyDescent="0.25">
      <c r="A64" s="882" t="s">
        <v>206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4"/>
      <c r="L64" s="25"/>
    </row>
    <row r="65" spans="1:12" s="12" customFormat="1" ht="30" customHeight="1" thickBot="1" x14ac:dyDescent="0.3">
      <c r="A65" s="979" t="s">
        <v>194</v>
      </c>
      <c r="B65" s="980"/>
      <c r="C65" s="980"/>
      <c r="D65" s="980"/>
      <c r="E65" s="980"/>
      <c r="F65" s="980"/>
      <c r="G65" s="980"/>
      <c r="H65" s="337"/>
      <c r="I65" s="337"/>
      <c r="J65" s="337"/>
      <c r="K65" s="338"/>
      <c r="L65" s="11"/>
    </row>
    <row r="66" spans="1:12" s="12" customFormat="1" ht="30" customHeight="1" x14ac:dyDescent="0.25">
      <c r="A66" s="981" t="s">
        <v>30</v>
      </c>
      <c r="B66" s="981"/>
      <c r="C66" s="982"/>
      <c r="D66" s="983" t="s">
        <v>453</v>
      </c>
      <c r="E66" s="984"/>
      <c r="F66" s="984"/>
      <c r="G66" s="985"/>
      <c r="H66" s="337"/>
      <c r="I66" s="337"/>
      <c r="J66" s="337"/>
      <c r="K66" s="338"/>
      <c r="L66" s="11"/>
    </row>
    <row r="67" spans="1:12" s="12" customFormat="1" ht="30" customHeight="1" x14ac:dyDescent="0.25">
      <c r="A67" s="1181" t="s">
        <v>31</v>
      </c>
      <c r="B67" s="1181"/>
      <c r="C67" s="1149"/>
      <c r="D67" s="1188" t="s">
        <v>454</v>
      </c>
      <c r="E67" s="1189"/>
      <c r="F67" s="1189"/>
      <c r="G67" s="1190"/>
      <c r="H67" s="337"/>
      <c r="I67" s="337"/>
      <c r="J67" s="337"/>
      <c r="K67" s="338"/>
      <c r="L67" s="11"/>
    </row>
    <row r="68" spans="1:12" s="12" customFormat="1" ht="30" customHeight="1" x14ac:dyDescent="0.25">
      <c r="A68" s="927" t="s">
        <v>32</v>
      </c>
      <c r="B68" s="927"/>
      <c r="C68" s="937"/>
      <c r="D68" s="967" t="s">
        <v>455</v>
      </c>
      <c r="E68" s="968"/>
      <c r="F68" s="968"/>
      <c r="G68" s="969"/>
      <c r="H68" s="347"/>
      <c r="I68" s="347"/>
      <c r="J68" s="347"/>
      <c r="K68" s="348"/>
      <c r="L68" s="22"/>
    </row>
    <row r="69" spans="1:12" s="12" customFormat="1" ht="30" customHeight="1" x14ac:dyDescent="0.25">
      <c r="A69" s="927" t="s">
        <v>60</v>
      </c>
      <c r="B69" s="927"/>
      <c r="C69" s="937"/>
      <c r="D69" s="1182">
        <f>F221</f>
        <v>0</v>
      </c>
      <c r="E69" s="1183"/>
      <c r="F69" s="1183"/>
      <c r="G69" s="1184"/>
      <c r="H69" s="378">
        <f>'Costo de Producción propuesto'!C14</f>
        <v>0</v>
      </c>
      <c r="I69" s="347"/>
      <c r="J69" s="347"/>
      <c r="K69" s="348"/>
      <c r="L69" s="22"/>
    </row>
    <row r="70" spans="1:12" s="12" customFormat="1" ht="30" customHeight="1" thickBot="1" x14ac:dyDescent="0.3">
      <c r="A70" s="1083" t="s">
        <v>33</v>
      </c>
      <c r="B70" s="1083"/>
      <c r="C70" s="1084"/>
      <c r="D70" s="1185"/>
      <c r="E70" s="1186"/>
      <c r="F70" s="1186"/>
      <c r="G70" s="1187"/>
      <c r="H70" s="347"/>
      <c r="I70" s="347"/>
      <c r="J70" s="347"/>
      <c r="K70" s="348"/>
      <c r="L70" s="22"/>
    </row>
    <row r="71" spans="1:12" s="12" customFormat="1" ht="15" customHeight="1" x14ac:dyDescent="0.25">
      <c r="A71" s="379"/>
      <c r="B71" s="375"/>
      <c r="C71" s="375"/>
      <c r="D71" s="375"/>
      <c r="E71" s="375"/>
      <c r="F71" s="375"/>
      <c r="G71" s="375"/>
      <c r="H71" s="375"/>
      <c r="I71" s="375"/>
      <c r="J71" s="375"/>
      <c r="K71" s="376"/>
      <c r="L71" s="22"/>
    </row>
    <row r="72" spans="1:12" s="12" customFormat="1" ht="25.5" customHeight="1" thickBot="1" x14ac:dyDescent="0.3">
      <c r="A72" s="959" t="s">
        <v>456</v>
      </c>
      <c r="B72" s="935"/>
      <c r="C72" s="935"/>
      <c r="D72" s="935"/>
      <c r="E72" s="935"/>
      <c r="F72" s="935"/>
      <c r="G72" s="935"/>
      <c r="H72" s="935"/>
      <c r="I72" s="935"/>
      <c r="J72" s="935"/>
      <c r="K72" s="936"/>
      <c r="L72" s="22"/>
    </row>
    <row r="73" spans="1:12" ht="25.5" customHeight="1" x14ac:dyDescent="0.25">
      <c r="A73" s="1172" t="s">
        <v>457</v>
      </c>
      <c r="B73" s="1172"/>
      <c r="C73" s="1172"/>
      <c r="D73" s="1172"/>
      <c r="E73" s="1172"/>
      <c r="F73" s="1172"/>
      <c r="G73" s="1173"/>
      <c r="H73" s="352"/>
      <c r="I73" s="352"/>
      <c r="J73" s="352"/>
      <c r="K73" s="353"/>
      <c r="L73" s="25"/>
    </row>
    <row r="74" spans="1:12" ht="25.5" customHeight="1" x14ac:dyDescent="0.25">
      <c r="A74" s="1191" t="s">
        <v>458</v>
      </c>
      <c r="B74" s="1191"/>
      <c r="C74" s="1191"/>
      <c r="D74" s="1191"/>
      <c r="E74" s="1191"/>
      <c r="F74" s="1191"/>
      <c r="G74" s="1192"/>
      <c r="H74" s="352"/>
      <c r="I74" s="352"/>
      <c r="J74" s="352"/>
      <c r="K74" s="353"/>
      <c r="L74" s="25"/>
    </row>
    <row r="75" spans="1:12" ht="25.5" customHeight="1" thickBot="1" x14ac:dyDescent="0.3">
      <c r="A75" s="1174"/>
      <c r="B75" s="1174"/>
      <c r="C75" s="1174"/>
      <c r="D75" s="1174"/>
      <c r="E75" s="1174"/>
      <c r="F75" s="1174"/>
      <c r="G75" s="1175"/>
      <c r="H75" s="352"/>
      <c r="I75" s="352"/>
      <c r="J75" s="352"/>
      <c r="K75" s="353"/>
      <c r="L75" s="25"/>
    </row>
    <row r="76" spans="1:12" ht="15.75" customHeight="1" x14ac:dyDescent="0.25">
      <c r="A76" s="380"/>
      <c r="B76" s="381"/>
      <c r="C76" s="381"/>
      <c r="D76" s="381"/>
      <c r="E76" s="381"/>
      <c r="F76" s="381"/>
      <c r="G76" s="381"/>
      <c r="H76" s="381"/>
      <c r="I76" s="381"/>
      <c r="J76" s="381"/>
      <c r="K76" s="382"/>
    </row>
    <row r="77" spans="1:12" s="28" customFormat="1" ht="21" customHeight="1" x14ac:dyDescent="0.25">
      <c r="A77" s="882" t="s">
        <v>207</v>
      </c>
      <c r="B77" s="883"/>
      <c r="C77" s="883"/>
      <c r="D77" s="883"/>
      <c r="E77" s="883"/>
      <c r="F77" s="883"/>
      <c r="G77" s="883"/>
      <c r="H77" s="383"/>
      <c r="I77" s="383"/>
      <c r="J77" s="383"/>
      <c r="K77" s="384"/>
      <c r="L77" s="27"/>
    </row>
    <row r="78" spans="1:12" ht="10.5" customHeight="1" x14ac:dyDescent="0.25">
      <c r="A78" s="385"/>
      <c r="B78" s="386"/>
      <c r="C78" s="386"/>
      <c r="D78" s="386"/>
      <c r="E78" s="386"/>
      <c r="F78" s="386"/>
      <c r="G78" s="386"/>
      <c r="H78" s="386"/>
      <c r="I78" s="386"/>
      <c r="J78" s="386"/>
      <c r="K78" s="387"/>
      <c r="L78" s="5"/>
    </row>
    <row r="79" spans="1:12" s="12" customFormat="1" ht="25.5" customHeight="1" thickBot="1" x14ac:dyDescent="0.3">
      <c r="A79" s="961" t="s">
        <v>463</v>
      </c>
      <c r="B79" s="962"/>
      <c r="C79" s="962"/>
      <c r="D79" s="962"/>
      <c r="E79" s="962"/>
      <c r="F79" s="962"/>
      <c r="G79" s="962"/>
      <c r="H79" s="962"/>
      <c r="I79" s="962"/>
      <c r="J79" s="962"/>
      <c r="K79" s="963"/>
      <c r="L79" s="22"/>
    </row>
    <row r="80" spans="1:12" s="12" customFormat="1" ht="64.5" customHeight="1" thickBot="1" x14ac:dyDescent="0.3">
      <c r="A80" s="960" t="s">
        <v>461</v>
      </c>
      <c r="B80" s="960"/>
      <c r="C80" s="960"/>
      <c r="D80" s="960"/>
      <c r="E80" s="960"/>
      <c r="F80" s="960"/>
      <c r="G80" s="960"/>
      <c r="H80" s="960"/>
      <c r="I80" s="960"/>
      <c r="J80" s="960"/>
      <c r="K80" s="960"/>
      <c r="L80" s="22"/>
    </row>
    <row r="81" spans="1:12" s="12" customFormat="1" ht="18.75" customHeight="1" x14ac:dyDescent="0.25">
      <c r="A81" s="388"/>
      <c r="B81" s="375"/>
      <c r="C81" s="375"/>
      <c r="D81" s="375"/>
      <c r="E81" s="375"/>
      <c r="F81" s="375"/>
      <c r="G81" s="375"/>
      <c r="H81" s="375"/>
      <c r="I81" s="375"/>
      <c r="J81" s="375"/>
      <c r="K81" s="376"/>
      <c r="L81" s="22"/>
    </row>
    <row r="82" spans="1:12" s="12" customFormat="1" ht="27.75" customHeight="1" thickBot="1" x14ac:dyDescent="0.3">
      <c r="A82" s="1193" t="s">
        <v>464</v>
      </c>
      <c r="B82" s="1194"/>
      <c r="C82" s="1194"/>
      <c r="D82" s="1194"/>
      <c r="E82" s="1194"/>
      <c r="F82" s="1194"/>
      <c r="G82" s="1194"/>
      <c r="H82" s="357"/>
      <c r="I82" s="357"/>
      <c r="J82" s="357"/>
      <c r="K82" s="358"/>
      <c r="L82" s="22"/>
    </row>
    <row r="83" spans="1:12" ht="64.5" customHeight="1" thickBot="1" x14ac:dyDescent="0.3">
      <c r="A83" s="960" t="s">
        <v>459</v>
      </c>
      <c r="B83" s="960"/>
      <c r="C83" s="960"/>
      <c r="D83" s="960"/>
      <c r="E83" s="960"/>
      <c r="F83" s="960"/>
      <c r="G83" s="960"/>
      <c r="H83" s="960"/>
      <c r="I83" s="960"/>
      <c r="J83" s="960"/>
      <c r="K83" s="960"/>
      <c r="L83" s="25"/>
    </row>
    <row r="84" spans="1:12" ht="20.25" customHeight="1" x14ac:dyDescent="0.25">
      <c r="A84" s="389"/>
      <c r="B84" s="390"/>
      <c r="C84" s="390"/>
      <c r="D84" s="390"/>
      <c r="E84" s="390"/>
      <c r="F84" s="390"/>
      <c r="G84" s="390"/>
      <c r="H84" s="390"/>
      <c r="I84" s="390"/>
      <c r="J84" s="390"/>
      <c r="K84" s="391"/>
    </row>
    <row r="85" spans="1:12" s="12" customFormat="1" ht="20.25" customHeight="1" thickBot="1" x14ac:dyDescent="0.3">
      <c r="A85" s="1103" t="s">
        <v>465</v>
      </c>
      <c r="B85" s="1104"/>
      <c r="C85" s="1104"/>
      <c r="D85" s="1104"/>
      <c r="E85" s="1104"/>
      <c r="F85" s="1104"/>
      <c r="G85" s="1104"/>
      <c r="H85" s="390"/>
      <c r="I85" s="390"/>
      <c r="J85" s="390"/>
      <c r="K85" s="391"/>
      <c r="L85" s="11"/>
    </row>
    <row r="86" spans="1:12" s="12" customFormat="1" ht="30" customHeight="1" x14ac:dyDescent="0.25">
      <c r="A86" s="938" t="str">
        <f>A80</f>
        <v>Deficiente logística de trazabilidad de la cadena productiva de quesos, desde la obtención de materia prima hasta la producción de quesos orgánicos, lo que limita el acceso a mercados de mayor capacidad adquisitiva.</v>
      </c>
      <c r="B86" s="939"/>
      <c r="C86" s="939"/>
      <c r="D86" s="939"/>
      <c r="E86" s="939"/>
      <c r="F86" s="939"/>
      <c r="G86" s="939"/>
      <c r="H86" s="939"/>
      <c r="I86" s="939"/>
      <c r="J86" s="939"/>
      <c r="K86" s="940"/>
      <c r="L86" s="22"/>
    </row>
    <row r="87" spans="1:12" s="12" customFormat="1" ht="30" customHeight="1" thickBot="1" x14ac:dyDescent="0.3">
      <c r="A87" s="941" t="str">
        <f>A83</f>
        <v>Crecimiento del mercado de productos orgánicos y apertura comercial mediante el Programa de Quesos Madurados de Sierra y Selva Exportadora con la marca colectiva "TERRANDINA".</v>
      </c>
      <c r="B87" s="942"/>
      <c r="C87" s="942"/>
      <c r="D87" s="942"/>
      <c r="E87" s="942"/>
      <c r="F87" s="942"/>
      <c r="G87" s="942"/>
      <c r="H87" s="942"/>
      <c r="I87" s="942"/>
      <c r="J87" s="942"/>
      <c r="K87" s="943"/>
      <c r="L87" s="22"/>
    </row>
    <row r="88" spans="1:12" s="12" customFormat="1" ht="30" customHeight="1" x14ac:dyDescent="0.25">
      <c r="A88" s="929"/>
      <c r="B88" s="930"/>
      <c r="C88" s="930"/>
      <c r="D88" s="930"/>
      <c r="E88" s="930"/>
      <c r="F88" s="930"/>
      <c r="G88" s="930"/>
      <c r="H88" s="930"/>
      <c r="I88" s="930"/>
      <c r="J88" s="930"/>
      <c r="K88" s="931"/>
      <c r="L88" s="22"/>
    </row>
    <row r="89" spans="1:12" s="12" customFormat="1" ht="30" customHeight="1" thickBot="1" x14ac:dyDescent="0.3">
      <c r="A89" s="932"/>
      <c r="B89" s="933"/>
      <c r="C89" s="933"/>
      <c r="D89" s="933"/>
      <c r="E89" s="933"/>
      <c r="F89" s="933"/>
      <c r="G89" s="933"/>
      <c r="H89" s="933"/>
      <c r="I89" s="933"/>
      <c r="J89" s="933"/>
      <c r="K89" s="934"/>
      <c r="L89" s="22"/>
    </row>
    <row r="90" spans="1:12" ht="30" customHeight="1" x14ac:dyDescent="0.25">
      <c r="A90" s="389"/>
      <c r="B90" s="390"/>
      <c r="C90" s="390"/>
      <c r="D90" s="390"/>
      <c r="E90" s="390"/>
      <c r="F90" s="390"/>
      <c r="G90" s="390"/>
      <c r="H90" s="390"/>
      <c r="I90" s="390"/>
      <c r="J90" s="390"/>
      <c r="K90" s="391"/>
    </row>
    <row r="91" spans="1:12" s="12" customFormat="1" ht="30" customHeight="1" thickBot="1" x14ac:dyDescent="0.3">
      <c r="A91" s="948" t="s">
        <v>466</v>
      </c>
      <c r="B91" s="949"/>
      <c r="C91" s="949"/>
      <c r="D91" s="949"/>
      <c r="E91" s="949"/>
      <c r="F91" s="949"/>
      <c r="G91" s="949"/>
      <c r="H91" s="390"/>
      <c r="I91" s="390"/>
      <c r="J91" s="390"/>
      <c r="K91" s="391"/>
      <c r="L91" s="11"/>
    </row>
    <row r="92" spans="1:12" s="12" customFormat="1" ht="50.1" customHeight="1" x14ac:dyDescent="0.25">
      <c r="A92" s="953" t="s">
        <v>45</v>
      </c>
      <c r="B92" s="913"/>
      <c r="C92" s="954"/>
      <c r="D92" s="913" t="s">
        <v>125</v>
      </c>
      <c r="E92" s="913"/>
      <c r="F92" s="913"/>
      <c r="G92" s="913"/>
      <c r="H92" s="913"/>
      <c r="I92" s="913"/>
      <c r="J92" s="913"/>
      <c r="K92" s="914"/>
      <c r="L92" s="22"/>
    </row>
    <row r="93" spans="1:12" s="12" customFormat="1" ht="50.1" customHeight="1" x14ac:dyDescent="0.25">
      <c r="A93" s="920" t="s">
        <v>324</v>
      </c>
      <c r="B93" s="921"/>
      <c r="C93" s="922"/>
      <c r="D93" s="915"/>
      <c r="E93" s="911"/>
      <c r="F93" s="911"/>
      <c r="G93" s="911"/>
      <c r="H93" s="911"/>
      <c r="I93" s="911"/>
      <c r="J93" s="911"/>
      <c r="K93" s="912"/>
      <c r="L93" s="22"/>
    </row>
    <row r="94" spans="1:12" s="12" customFormat="1" ht="50.1" customHeight="1" x14ac:dyDescent="0.25">
      <c r="A94" s="920" t="s">
        <v>325</v>
      </c>
      <c r="B94" s="921"/>
      <c r="C94" s="922"/>
      <c r="D94" s="916" t="s">
        <v>460</v>
      </c>
      <c r="E94" s="916"/>
      <c r="F94" s="916"/>
      <c r="G94" s="916"/>
      <c r="H94" s="916"/>
      <c r="I94" s="916"/>
      <c r="J94" s="916"/>
      <c r="K94" s="876"/>
      <c r="L94" s="22"/>
    </row>
    <row r="95" spans="1:12" s="12" customFormat="1" ht="50.1" customHeight="1" x14ac:dyDescent="0.25">
      <c r="A95" s="920" t="s">
        <v>326</v>
      </c>
      <c r="B95" s="921"/>
      <c r="C95" s="922"/>
      <c r="D95" s="911"/>
      <c r="E95" s="911"/>
      <c r="F95" s="911"/>
      <c r="G95" s="911"/>
      <c r="H95" s="911"/>
      <c r="I95" s="911"/>
      <c r="J95" s="911"/>
      <c r="K95" s="912"/>
      <c r="L95" s="22"/>
    </row>
    <row r="96" spans="1:12" s="12" customFormat="1" ht="50.1" customHeight="1" x14ac:dyDescent="0.25">
      <c r="A96" s="920" t="s">
        <v>137</v>
      </c>
      <c r="B96" s="921"/>
      <c r="C96" s="922"/>
      <c r="D96" s="911"/>
      <c r="E96" s="911"/>
      <c r="F96" s="911"/>
      <c r="G96" s="911"/>
      <c r="H96" s="911"/>
      <c r="I96" s="911"/>
      <c r="J96" s="911"/>
      <c r="K96" s="912"/>
      <c r="L96" s="22"/>
    </row>
    <row r="97" spans="1:12" s="12" customFormat="1" ht="50.1" customHeight="1" x14ac:dyDescent="0.25">
      <c r="A97" s="920" t="s">
        <v>138</v>
      </c>
      <c r="B97" s="921"/>
      <c r="C97" s="922"/>
      <c r="D97" s="911"/>
      <c r="E97" s="911"/>
      <c r="F97" s="911"/>
      <c r="G97" s="911"/>
      <c r="H97" s="911"/>
      <c r="I97" s="911"/>
      <c r="J97" s="911"/>
      <c r="K97" s="912"/>
      <c r="L97" s="22"/>
    </row>
    <row r="98" spans="1:12" s="12" customFormat="1" ht="50.1" customHeight="1" x14ac:dyDescent="0.25">
      <c r="A98" s="1105" t="s">
        <v>134</v>
      </c>
      <c r="B98" s="1106"/>
      <c r="C98" s="1107"/>
      <c r="D98" s="911"/>
      <c r="E98" s="911"/>
      <c r="F98" s="911"/>
      <c r="G98" s="911"/>
      <c r="H98" s="911"/>
      <c r="I98" s="911"/>
      <c r="J98" s="911"/>
      <c r="K98" s="912"/>
      <c r="L98" s="22"/>
    </row>
    <row r="99" spans="1:12" s="12" customFormat="1" ht="50.1" customHeight="1" thickBot="1" x14ac:dyDescent="0.3">
      <c r="A99" s="1108"/>
      <c r="B99" s="1109"/>
      <c r="C99" s="1110"/>
      <c r="D99" s="1133"/>
      <c r="E99" s="1133"/>
      <c r="F99" s="1133"/>
      <c r="G99" s="1133"/>
      <c r="H99" s="1133"/>
      <c r="I99" s="1133"/>
      <c r="J99" s="1133"/>
      <c r="K99" s="1006"/>
      <c r="L99" s="22"/>
    </row>
    <row r="100" spans="1:12" ht="20.25" customHeight="1" x14ac:dyDescent="0.25">
      <c r="A100" s="389"/>
      <c r="B100" s="390"/>
      <c r="C100" s="390"/>
      <c r="D100" s="390"/>
      <c r="E100" s="390"/>
      <c r="F100" s="390"/>
      <c r="G100" s="390"/>
      <c r="H100" s="390"/>
      <c r="I100" s="390"/>
      <c r="J100" s="390"/>
      <c r="K100" s="391"/>
    </row>
    <row r="101" spans="1:12" ht="20.25" customHeight="1" x14ac:dyDescent="0.25">
      <c r="A101" s="389"/>
      <c r="B101" s="390"/>
      <c r="C101" s="390"/>
      <c r="D101" s="390"/>
      <c r="E101" s="390"/>
      <c r="F101" s="390"/>
      <c r="G101" s="390"/>
      <c r="H101" s="390"/>
      <c r="I101" s="390"/>
      <c r="J101" s="390"/>
      <c r="K101" s="391"/>
    </row>
    <row r="102" spans="1:12" ht="25.5" customHeight="1" x14ac:dyDescent="0.25">
      <c r="A102" s="882" t="s">
        <v>208</v>
      </c>
      <c r="B102" s="883"/>
      <c r="C102" s="883"/>
      <c r="D102" s="883"/>
      <c r="E102" s="883"/>
      <c r="F102" s="883"/>
      <c r="G102" s="883"/>
      <c r="H102" s="883"/>
      <c r="I102" s="883"/>
      <c r="J102" s="883"/>
      <c r="K102" s="884"/>
      <c r="L102" s="25"/>
    </row>
    <row r="103" spans="1:12" ht="15" customHeight="1" x14ac:dyDescent="0.25">
      <c r="A103" s="392"/>
      <c r="B103" s="393"/>
      <c r="C103" s="393"/>
      <c r="D103" s="393"/>
      <c r="E103" s="393"/>
      <c r="F103" s="393"/>
      <c r="G103" s="393"/>
      <c r="H103" s="393"/>
      <c r="I103" s="393"/>
      <c r="J103" s="393"/>
      <c r="K103" s="394"/>
    </row>
    <row r="104" spans="1:12" ht="30" customHeight="1" x14ac:dyDescent="0.25">
      <c r="A104" s="1123" t="s">
        <v>195</v>
      </c>
      <c r="B104" s="1124"/>
      <c r="C104" s="1124"/>
      <c r="D104" s="1124"/>
      <c r="E104" s="390"/>
      <c r="F104" s="390"/>
      <c r="G104" s="390"/>
      <c r="H104" s="390"/>
      <c r="I104" s="390"/>
      <c r="J104" s="390"/>
      <c r="K104" s="391"/>
    </row>
    <row r="105" spans="1:12" ht="20.25" customHeight="1" thickBot="1" x14ac:dyDescent="0.3">
      <c r="A105" s="389"/>
      <c r="B105" s="390"/>
      <c r="C105" s="390"/>
      <c r="D105" s="390"/>
      <c r="E105" s="390"/>
      <c r="F105" s="390"/>
      <c r="G105" s="390"/>
      <c r="H105" s="390"/>
      <c r="I105" s="390"/>
      <c r="J105" s="390"/>
      <c r="K105" s="391"/>
    </row>
    <row r="106" spans="1:12" ht="24.95" customHeight="1" thickBot="1" x14ac:dyDescent="0.3">
      <c r="A106" s="955" t="s">
        <v>37</v>
      </c>
      <c r="B106" s="872" t="s">
        <v>63</v>
      </c>
      <c r="C106" s="872"/>
      <c r="D106" s="866" t="s">
        <v>46</v>
      </c>
      <c r="E106" s="866" t="s">
        <v>56</v>
      </c>
      <c r="F106" s="866" t="s">
        <v>39</v>
      </c>
      <c r="G106" s="866" t="s">
        <v>55</v>
      </c>
      <c r="H106" s="866" t="s">
        <v>48</v>
      </c>
      <c r="I106" s="866"/>
      <c r="J106" s="866"/>
      <c r="K106" s="944" t="s">
        <v>54</v>
      </c>
    </row>
    <row r="107" spans="1:12" ht="46.5" customHeight="1" thickBot="1" x14ac:dyDescent="0.3">
      <c r="A107" s="955"/>
      <c r="B107" s="872"/>
      <c r="C107" s="872"/>
      <c r="D107" s="866"/>
      <c r="E107" s="866"/>
      <c r="F107" s="866"/>
      <c r="G107" s="866"/>
      <c r="H107" s="395" t="s">
        <v>47</v>
      </c>
      <c r="I107" s="395" t="s">
        <v>52</v>
      </c>
      <c r="J107" s="395" t="s">
        <v>395</v>
      </c>
      <c r="K107" s="944"/>
    </row>
    <row r="108" spans="1:12" s="12" customFormat="1" ht="24.95" customHeight="1" x14ac:dyDescent="0.25">
      <c r="A108" s="964">
        <v>1</v>
      </c>
      <c r="B108" s="867" t="str">
        <f>A93</f>
        <v>1. Fortalecimiento organizacional / empresarial</v>
      </c>
      <c r="C108" s="868"/>
      <c r="D108" s="868"/>
      <c r="E108" s="868"/>
      <c r="F108" s="868"/>
      <c r="G108" s="868"/>
      <c r="H108" s="868"/>
      <c r="I108" s="868"/>
      <c r="J108" s="868"/>
      <c r="K108" s="869"/>
      <c r="L108" s="11"/>
    </row>
    <row r="109" spans="1:12" s="12" customFormat="1" ht="24.95" customHeight="1" x14ac:dyDescent="0.25">
      <c r="A109" s="965"/>
      <c r="B109" s="903">
        <f>D93</f>
        <v>0</v>
      </c>
      <c r="C109" s="904"/>
      <c r="D109" s="904"/>
      <c r="E109" s="904"/>
      <c r="F109" s="904"/>
      <c r="G109" s="904"/>
      <c r="H109" s="904"/>
      <c r="I109" s="904"/>
      <c r="J109" s="904"/>
      <c r="K109" s="905"/>
      <c r="L109" s="11"/>
    </row>
    <row r="110" spans="1:12" s="12" customFormat="1" ht="24.95" customHeight="1" x14ac:dyDescent="0.25">
      <c r="A110" s="965"/>
      <c r="B110" s="907" t="s">
        <v>64</v>
      </c>
      <c r="C110" s="908"/>
      <c r="D110" s="396"/>
      <c r="E110" s="396"/>
      <c r="F110" s="396"/>
      <c r="G110" s="397">
        <f>E110*F110</f>
        <v>0</v>
      </c>
      <c r="H110" s="396"/>
      <c r="I110" s="396"/>
      <c r="J110" s="396"/>
      <c r="K110" s="398">
        <f>G110-(H110+I110+J110)</f>
        <v>0</v>
      </c>
      <c r="L110" s="11"/>
    </row>
    <row r="111" spans="1:12" s="12" customFormat="1" ht="24.95" customHeight="1" x14ac:dyDescent="0.25">
      <c r="A111" s="965"/>
      <c r="B111" s="864" t="s">
        <v>152</v>
      </c>
      <c r="C111" s="865"/>
      <c r="D111" s="396"/>
      <c r="E111" s="396"/>
      <c r="F111" s="396"/>
      <c r="G111" s="397">
        <f>E111*F111</f>
        <v>0</v>
      </c>
      <c r="H111" s="396"/>
      <c r="I111" s="396"/>
      <c r="J111" s="396"/>
      <c r="K111" s="398">
        <f>G111-(H111+I111+J111)</f>
        <v>0</v>
      </c>
      <c r="L111" s="11"/>
    </row>
    <row r="112" spans="1:12" s="12" customFormat="1" ht="24.95" customHeight="1" x14ac:dyDescent="0.25">
      <c r="A112" s="965"/>
      <c r="B112" s="864" t="s">
        <v>53</v>
      </c>
      <c r="C112" s="865"/>
      <c r="D112" s="396"/>
      <c r="E112" s="396"/>
      <c r="F112" s="396"/>
      <c r="G112" s="397">
        <f>E112*F112</f>
        <v>0</v>
      </c>
      <c r="H112" s="396"/>
      <c r="I112" s="396"/>
      <c r="J112" s="396"/>
      <c r="K112" s="398">
        <f>G112-(H112+I112+J112)</f>
        <v>0</v>
      </c>
      <c r="L112" s="11"/>
    </row>
    <row r="113" spans="1:12" s="12" customFormat="1" ht="24.95" customHeight="1" thickBot="1" x14ac:dyDescent="0.3">
      <c r="A113" s="966"/>
      <c r="B113" s="870" t="s">
        <v>136</v>
      </c>
      <c r="C113" s="871"/>
      <c r="D113" s="399"/>
      <c r="E113" s="399"/>
      <c r="F113" s="399"/>
      <c r="G113" s="400">
        <f>SUM(G110:G112)</f>
        <v>0</v>
      </c>
      <c r="H113" s="399">
        <f>SUM(H110:H112)</f>
        <v>0</v>
      </c>
      <c r="I113" s="399">
        <f>SUM(I110:I112)</f>
        <v>0</v>
      </c>
      <c r="J113" s="399">
        <f>SUM(J110:J112)</f>
        <v>0</v>
      </c>
      <c r="K113" s="401">
        <f>G113-(H113+I113+J113)</f>
        <v>0</v>
      </c>
      <c r="L113" s="11"/>
    </row>
    <row r="114" spans="1:12" s="12" customFormat="1" ht="24.95" customHeight="1" x14ac:dyDescent="0.25">
      <c r="A114" s="880">
        <f>A108+1</f>
        <v>2</v>
      </c>
      <c r="B114" s="867" t="str">
        <f>A94</f>
        <v>2. Estandarización / calidad / certificaciones</v>
      </c>
      <c r="C114" s="868"/>
      <c r="D114" s="868"/>
      <c r="E114" s="868"/>
      <c r="F114" s="868"/>
      <c r="G114" s="868"/>
      <c r="H114" s="868"/>
      <c r="I114" s="868"/>
      <c r="J114" s="868"/>
      <c r="K114" s="869"/>
      <c r="L114" s="11"/>
    </row>
    <row r="115" spans="1:12" s="12" customFormat="1" ht="24.95" customHeight="1" x14ac:dyDescent="0.25">
      <c r="A115" s="880"/>
      <c r="B115" s="903" t="str">
        <f>D94</f>
        <v>Capacitación y asistencia técnica para la implementación de un sistema de trazabilidad en la producción de quesos madurados orgánicos.</v>
      </c>
      <c r="C115" s="904"/>
      <c r="D115" s="904"/>
      <c r="E115" s="904"/>
      <c r="F115" s="904"/>
      <c r="G115" s="904"/>
      <c r="H115" s="904"/>
      <c r="I115" s="904"/>
      <c r="J115" s="904"/>
      <c r="K115" s="905"/>
      <c r="L115" s="11"/>
    </row>
    <row r="116" spans="1:12" s="12" customFormat="1" ht="24.95" customHeight="1" x14ac:dyDescent="0.25">
      <c r="A116" s="880"/>
      <c r="B116" s="873" t="s">
        <v>64</v>
      </c>
      <c r="C116" s="874"/>
      <c r="D116" s="396" t="s">
        <v>462</v>
      </c>
      <c r="E116" s="396">
        <v>2500</v>
      </c>
      <c r="F116" s="652"/>
      <c r="G116" s="397">
        <f>E116*F116</f>
        <v>0</v>
      </c>
      <c r="H116" s="396">
        <f>G116/2</f>
        <v>0</v>
      </c>
      <c r="I116" s="396"/>
      <c r="J116" s="396">
        <f>G116-H116</f>
        <v>0</v>
      </c>
      <c r="K116" s="398">
        <f>G116-(H116+I116+J116)</f>
        <v>0</v>
      </c>
      <c r="L116" s="11"/>
    </row>
    <row r="117" spans="1:12" s="12" customFormat="1" ht="24.95" customHeight="1" x14ac:dyDescent="0.25">
      <c r="A117" s="880"/>
      <c r="B117" s="885" t="s">
        <v>53</v>
      </c>
      <c r="C117" s="886"/>
      <c r="D117" s="396"/>
      <c r="E117" s="396"/>
      <c r="F117" s="396"/>
      <c r="G117" s="397">
        <f>E117*F117</f>
        <v>0</v>
      </c>
      <c r="H117" s="396"/>
      <c r="I117" s="396"/>
      <c r="J117" s="396"/>
      <c r="K117" s="398">
        <f>G117-(H117+I117+J117)</f>
        <v>0</v>
      </c>
      <c r="L117" s="11"/>
    </row>
    <row r="118" spans="1:12" s="12" customFormat="1" ht="24.95" customHeight="1" x14ac:dyDescent="0.25">
      <c r="A118" s="880"/>
      <c r="B118" s="885" t="s">
        <v>53</v>
      </c>
      <c r="C118" s="886"/>
      <c r="D118" s="396"/>
      <c r="E118" s="396"/>
      <c r="F118" s="396"/>
      <c r="G118" s="397">
        <f>E118*F118</f>
        <v>0</v>
      </c>
      <c r="H118" s="396"/>
      <c r="I118" s="396"/>
      <c r="J118" s="396"/>
      <c r="K118" s="398">
        <f>G118-(H118+I118+J118)</f>
        <v>0</v>
      </c>
      <c r="L118" s="11"/>
    </row>
    <row r="119" spans="1:12" s="12" customFormat="1" ht="24.95" customHeight="1" thickBot="1" x14ac:dyDescent="0.3">
      <c r="A119" s="881"/>
      <c r="B119" s="901" t="s">
        <v>136</v>
      </c>
      <c r="C119" s="902"/>
      <c r="D119" s="402"/>
      <c r="E119" s="403"/>
      <c r="F119" s="403"/>
      <c r="G119" s="404">
        <f>SUM(G116:G118)</f>
        <v>0</v>
      </c>
      <c r="H119" s="404">
        <f>SUM(H116:H118)</f>
        <v>0</v>
      </c>
      <c r="I119" s="404">
        <f>SUM(I116:I118)</f>
        <v>0</v>
      </c>
      <c r="J119" s="404">
        <f>SUM(J116:J118)</f>
        <v>0</v>
      </c>
      <c r="K119" s="401">
        <f>G119-(H119+I119+J119)</f>
        <v>0</v>
      </c>
      <c r="L119" s="11"/>
    </row>
    <row r="120" spans="1:12" s="12" customFormat="1" ht="24.95" customHeight="1" x14ac:dyDescent="0.25">
      <c r="A120" s="880">
        <f>A114+1</f>
        <v>3</v>
      </c>
      <c r="B120" s="950" t="str">
        <f>A95</f>
        <v>3. Comercialización / mercados / marketing  /comercio exterior</v>
      </c>
      <c r="C120" s="951"/>
      <c r="D120" s="951"/>
      <c r="E120" s="951"/>
      <c r="F120" s="951"/>
      <c r="G120" s="951"/>
      <c r="H120" s="951"/>
      <c r="I120" s="951"/>
      <c r="J120" s="951"/>
      <c r="K120" s="952"/>
      <c r="L120" s="11"/>
    </row>
    <row r="121" spans="1:12" s="12" customFormat="1" ht="24.95" customHeight="1" x14ac:dyDescent="0.25">
      <c r="A121" s="880"/>
      <c r="B121" s="903">
        <f>D95</f>
        <v>0</v>
      </c>
      <c r="C121" s="904"/>
      <c r="D121" s="904"/>
      <c r="E121" s="904"/>
      <c r="F121" s="904"/>
      <c r="G121" s="904"/>
      <c r="H121" s="904"/>
      <c r="I121" s="904"/>
      <c r="J121" s="904"/>
      <c r="K121" s="906"/>
      <c r="L121" s="11"/>
    </row>
    <row r="122" spans="1:12" s="12" customFormat="1" ht="24.95" customHeight="1" x14ac:dyDescent="0.25">
      <c r="A122" s="880"/>
      <c r="B122" s="873" t="s">
        <v>64</v>
      </c>
      <c r="C122" s="874"/>
      <c r="D122" s="396"/>
      <c r="E122" s="396"/>
      <c r="F122" s="396"/>
      <c r="G122" s="397">
        <f>E122*F122</f>
        <v>0</v>
      </c>
      <c r="H122" s="396"/>
      <c r="I122" s="396"/>
      <c r="J122" s="396"/>
      <c r="K122" s="397">
        <f>G122-(H122+I122+J122)</f>
        <v>0</v>
      </c>
      <c r="L122" s="11"/>
    </row>
    <row r="123" spans="1:12" s="12" customFormat="1" ht="24.95" customHeight="1" x14ac:dyDescent="0.25">
      <c r="A123" s="880"/>
      <c r="B123" s="885" t="s">
        <v>53</v>
      </c>
      <c r="C123" s="886"/>
      <c r="D123" s="396"/>
      <c r="E123" s="396"/>
      <c r="F123" s="396"/>
      <c r="G123" s="397">
        <f>E123*F123</f>
        <v>0</v>
      </c>
      <c r="H123" s="396"/>
      <c r="I123" s="396"/>
      <c r="J123" s="396"/>
      <c r="K123" s="397">
        <f>G123-(H123+I123+J123)</f>
        <v>0</v>
      </c>
      <c r="L123" s="11"/>
    </row>
    <row r="124" spans="1:12" s="12" customFormat="1" ht="24.95" customHeight="1" x14ac:dyDescent="0.25">
      <c r="A124" s="880"/>
      <c r="B124" s="885" t="s">
        <v>53</v>
      </c>
      <c r="C124" s="886"/>
      <c r="D124" s="396"/>
      <c r="E124" s="396"/>
      <c r="F124" s="396"/>
      <c r="G124" s="397">
        <f>E124*F124</f>
        <v>0</v>
      </c>
      <c r="H124" s="396"/>
      <c r="I124" s="396"/>
      <c r="J124" s="396"/>
      <c r="K124" s="397">
        <f>G124-(H124+I124+J124)</f>
        <v>0</v>
      </c>
      <c r="L124" s="11"/>
    </row>
    <row r="125" spans="1:12" s="12" customFormat="1" ht="24.95" customHeight="1" thickBot="1" x14ac:dyDescent="0.3">
      <c r="A125" s="881"/>
      <c r="B125" s="901" t="s">
        <v>136</v>
      </c>
      <c r="C125" s="902"/>
      <c r="D125" s="402"/>
      <c r="E125" s="403"/>
      <c r="F125" s="403"/>
      <c r="G125" s="404">
        <f>SUM(G122:G124)</f>
        <v>0</v>
      </c>
      <c r="H125" s="404">
        <f>SUM(H122:H124)</f>
        <v>0</v>
      </c>
      <c r="I125" s="404">
        <f>SUM(I122:I124)</f>
        <v>0</v>
      </c>
      <c r="J125" s="404">
        <f>SUM(J122:J124)</f>
        <v>0</v>
      </c>
      <c r="K125" s="404">
        <f>G125-(H125+I125+J125)</f>
        <v>0</v>
      </c>
      <c r="L125" s="11"/>
    </row>
    <row r="126" spans="1:12" s="12" customFormat="1" ht="24.95" customHeight="1" x14ac:dyDescent="0.25">
      <c r="A126" s="880">
        <f>A120+1</f>
        <v>4</v>
      </c>
      <c r="B126" s="877" t="str">
        <f>A96</f>
        <v>4. Producción primaria (cultivos, crianzas) y/o en transformación</v>
      </c>
      <c r="C126" s="878"/>
      <c r="D126" s="878"/>
      <c r="E126" s="878"/>
      <c r="F126" s="878"/>
      <c r="G126" s="878"/>
      <c r="H126" s="878"/>
      <c r="I126" s="878"/>
      <c r="J126" s="878"/>
      <c r="K126" s="879"/>
      <c r="L126" s="11"/>
    </row>
    <row r="127" spans="1:12" s="12" customFormat="1" ht="24.95" customHeight="1" x14ac:dyDescent="0.25">
      <c r="A127" s="880"/>
      <c r="B127" s="903">
        <f>D96</f>
        <v>0</v>
      </c>
      <c r="C127" s="904"/>
      <c r="D127" s="904"/>
      <c r="E127" s="904"/>
      <c r="F127" s="904"/>
      <c r="G127" s="904"/>
      <c r="H127" s="904"/>
      <c r="I127" s="904"/>
      <c r="J127" s="904"/>
      <c r="K127" s="906"/>
      <c r="L127" s="11"/>
    </row>
    <row r="128" spans="1:12" s="12" customFormat="1" ht="24.95" customHeight="1" x14ac:dyDescent="0.25">
      <c r="A128" s="880"/>
      <c r="B128" s="873" t="s">
        <v>64</v>
      </c>
      <c r="C128" s="874"/>
      <c r="D128" s="396"/>
      <c r="E128" s="396"/>
      <c r="F128" s="396"/>
      <c r="G128" s="397">
        <f>E128*F128</f>
        <v>0</v>
      </c>
      <c r="H128" s="396"/>
      <c r="I128" s="396"/>
      <c r="J128" s="396"/>
      <c r="K128" s="397">
        <f>G128-(H128+I128+J128)</f>
        <v>0</v>
      </c>
      <c r="L128" s="11"/>
    </row>
    <row r="129" spans="1:12" s="12" customFormat="1" ht="24.95" customHeight="1" x14ac:dyDescent="0.25">
      <c r="A129" s="880"/>
      <c r="B129" s="885" t="s">
        <v>53</v>
      </c>
      <c r="C129" s="886"/>
      <c r="D129" s="396"/>
      <c r="E129" s="396"/>
      <c r="F129" s="396"/>
      <c r="G129" s="397">
        <f>E129*F129</f>
        <v>0</v>
      </c>
      <c r="H129" s="396"/>
      <c r="I129" s="396"/>
      <c r="J129" s="396"/>
      <c r="K129" s="397">
        <f>G129-(H129+I129+J129)</f>
        <v>0</v>
      </c>
      <c r="L129" s="11"/>
    </row>
    <row r="130" spans="1:12" s="12" customFormat="1" ht="24.95" customHeight="1" x14ac:dyDescent="0.25">
      <c r="A130" s="880"/>
      <c r="B130" s="885" t="s">
        <v>53</v>
      </c>
      <c r="C130" s="886"/>
      <c r="D130" s="396"/>
      <c r="E130" s="396"/>
      <c r="F130" s="396"/>
      <c r="G130" s="397">
        <f>E130*F130</f>
        <v>0</v>
      </c>
      <c r="H130" s="396"/>
      <c r="I130" s="396"/>
      <c r="J130" s="396"/>
      <c r="K130" s="397">
        <f>G130-(H130+I130+J130)</f>
        <v>0</v>
      </c>
      <c r="L130" s="11"/>
    </row>
    <row r="131" spans="1:12" s="12" customFormat="1" ht="24.95" customHeight="1" thickBot="1" x14ac:dyDescent="0.3">
      <c r="A131" s="880"/>
      <c r="B131" s="901" t="s">
        <v>136</v>
      </c>
      <c r="C131" s="902"/>
      <c r="D131" s="402"/>
      <c r="E131" s="403"/>
      <c r="F131" s="403"/>
      <c r="G131" s="404">
        <f>SUM(G128:G130)</f>
        <v>0</v>
      </c>
      <c r="H131" s="404">
        <f>SUM(H128:H130)</f>
        <v>0</v>
      </c>
      <c r="I131" s="404">
        <f>SUM(I128:I130)</f>
        <v>0</v>
      </c>
      <c r="J131" s="404">
        <f>SUM(J128:J130)</f>
        <v>0</v>
      </c>
      <c r="K131" s="397">
        <f>G131-(H131+I131+J131)</f>
        <v>0</v>
      </c>
      <c r="L131" s="11"/>
    </row>
    <row r="132" spans="1:12" s="12" customFormat="1" ht="24.95" customHeight="1" x14ac:dyDescent="0.25">
      <c r="A132" s="887">
        <f>A126+1</f>
        <v>5</v>
      </c>
      <c r="B132" s="877" t="str">
        <f>A97</f>
        <v>5. Gestión de financiamiento</v>
      </c>
      <c r="C132" s="978"/>
      <c r="D132" s="978"/>
      <c r="E132" s="978"/>
      <c r="F132" s="978"/>
      <c r="G132" s="978"/>
      <c r="H132" s="978"/>
      <c r="I132" s="978"/>
      <c r="J132" s="978"/>
      <c r="K132" s="971"/>
      <c r="L132" s="11"/>
    </row>
    <row r="133" spans="1:12" s="12" customFormat="1" ht="24.95" customHeight="1" x14ac:dyDescent="0.25">
      <c r="A133" s="888"/>
      <c r="B133" s="903">
        <f>D97</f>
        <v>0</v>
      </c>
      <c r="C133" s="904"/>
      <c r="D133" s="904"/>
      <c r="E133" s="904"/>
      <c r="F133" s="904"/>
      <c r="G133" s="904"/>
      <c r="H133" s="904"/>
      <c r="I133" s="904"/>
      <c r="J133" s="904"/>
      <c r="K133" s="906"/>
      <c r="L133" s="11"/>
    </row>
    <row r="134" spans="1:12" s="12" customFormat="1" ht="24.95" customHeight="1" x14ac:dyDescent="0.25">
      <c r="A134" s="889"/>
      <c r="B134" s="873" t="s">
        <v>64</v>
      </c>
      <c r="C134" s="874"/>
      <c r="D134" s="396"/>
      <c r="E134" s="396"/>
      <c r="F134" s="396"/>
      <c r="G134" s="397">
        <f>E134*F134</f>
        <v>0</v>
      </c>
      <c r="H134" s="396"/>
      <c r="I134" s="396"/>
      <c r="J134" s="396"/>
      <c r="K134" s="397">
        <f>G134-(H134+I134+J134)</f>
        <v>0</v>
      </c>
      <c r="L134" s="11"/>
    </row>
    <row r="135" spans="1:12" s="12" customFormat="1" ht="24.95" customHeight="1" x14ac:dyDescent="0.25">
      <c r="A135" s="889"/>
      <c r="B135" s="885" t="s">
        <v>53</v>
      </c>
      <c r="C135" s="886"/>
      <c r="D135" s="396"/>
      <c r="E135" s="396"/>
      <c r="F135" s="396"/>
      <c r="G135" s="397">
        <f>E135*F135</f>
        <v>0</v>
      </c>
      <c r="H135" s="396"/>
      <c r="I135" s="396"/>
      <c r="J135" s="396"/>
      <c r="K135" s="397">
        <f>G135-(H135+I135+J135)</f>
        <v>0</v>
      </c>
      <c r="L135" s="11"/>
    </row>
    <row r="136" spans="1:12" s="12" customFormat="1" ht="24.95" customHeight="1" x14ac:dyDescent="0.25">
      <c r="A136" s="889"/>
      <c r="B136" s="885" t="s">
        <v>53</v>
      </c>
      <c r="C136" s="886"/>
      <c r="D136" s="396"/>
      <c r="E136" s="396"/>
      <c r="F136" s="396"/>
      <c r="G136" s="397">
        <f>E136*F136</f>
        <v>0</v>
      </c>
      <c r="H136" s="396"/>
      <c r="I136" s="396"/>
      <c r="J136" s="396"/>
      <c r="K136" s="397">
        <f>G136-(H136+I136+J136)</f>
        <v>0</v>
      </c>
      <c r="L136" s="11"/>
    </row>
    <row r="137" spans="1:12" s="12" customFormat="1" ht="24.95" customHeight="1" thickBot="1" x14ac:dyDescent="0.3">
      <c r="A137" s="890"/>
      <c r="B137" s="901" t="s">
        <v>136</v>
      </c>
      <c r="C137" s="902"/>
      <c r="D137" s="402"/>
      <c r="E137" s="403"/>
      <c r="F137" s="403"/>
      <c r="G137" s="404">
        <f>SUM(G134:G136)</f>
        <v>0</v>
      </c>
      <c r="H137" s="404">
        <f>SUM(H134:H136)</f>
        <v>0</v>
      </c>
      <c r="I137" s="404">
        <f>SUM(I134:I136)</f>
        <v>0</v>
      </c>
      <c r="J137" s="404">
        <f>SUM(J134:J136)</f>
        <v>0</v>
      </c>
      <c r="K137" s="404">
        <f>G137-(H137+I137+J137)</f>
        <v>0</v>
      </c>
      <c r="L137" s="11"/>
    </row>
    <row r="138" spans="1:12" s="12" customFormat="1" ht="48.75" customHeight="1" thickBot="1" x14ac:dyDescent="0.3">
      <c r="A138" s="405">
        <f>A132+1</f>
        <v>6</v>
      </c>
      <c r="B138" s="1004">
        <f>D98</f>
        <v>0</v>
      </c>
      <c r="C138" s="1004"/>
      <c r="D138" s="406"/>
      <c r="E138" s="406"/>
      <c r="F138" s="406"/>
      <c r="G138" s="407">
        <f>E138*F138</f>
        <v>0</v>
      </c>
      <c r="H138" s="406"/>
      <c r="I138" s="406"/>
      <c r="J138" s="406"/>
      <c r="K138" s="407"/>
      <c r="L138" s="11"/>
    </row>
    <row r="139" spans="1:12" s="12" customFormat="1" ht="44.25" customHeight="1" thickBot="1" x14ac:dyDescent="0.3">
      <c r="A139" s="405">
        <f>A138+1</f>
        <v>7</v>
      </c>
      <c r="B139" s="1000">
        <f>D99</f>
        <v>0</v>
      </c>
      <c r="C139" s="1001"/>
      <c r="D139" s="408"/>
      <c r="E139" s="408"/>
      <c r="F139" s="408"/>
      <c r="G139" s="409">
        <f>E139*F139</f>
        <v>0</v>
      </c>
      <c r="H139" s="408"/>
      <c r="I139" s="408"/>
      <c r="J139" s="408"/>
      <c r="K139" s="409">
        <f>G139-(H139+I139+J139)</f>
        <v>0</v>
      </c>
      <c r="L139" s="11"/>
    </row>
    <row r="140" spans="1:12" s="12" customFormat="1" ht="24.95" customHeight="1" thickBot="1" x14ac:dyDescent="0.3">
      <c r="A140" s="380"/>
      <c r="B140" s="381"/>
      <c r="C140" s="381"/>
      <c r="D140" s="410"/>
      <c r="E140" s="410"/>
      <c r="F140" s="410"/>
      <c r="G140" s="410"/>
      <c r="H140" s="410"/>
      <c r="I140" s="410"/>
      <c r="J140" s="410"/>
      <c r="K140" s="411"/>
      <c r="L140" s="11"/>
    </row>
    <row r="141" spans="1:12" s="12" customFormat="1" ht="44.1" customHeight="1" thickBot="1" x14ac:dyDescent="0.3">
      <c r="A141" s="412"/>
      <c r="B141" s="895" t="s">
        <v>41</v>
      </c>
      <c r="C141" s="895"/>
      <c r="D141" s="1139"/>
      <c r="E141" s="899"/>
      <c r="F141" s="1140"/>
      <c r="G141" s="325">
        <f>G113+G119+G125+G131+G137+G138+G139</f>
        <v>0</v>
      </c>
      <c r="H141" s="325">
        <f>H113+H119+H125+H131+H137+H138+H139</f>
        <v>0</v>
      </c>
      <c r="I141" s="325">
        <f>I113+I119+I125+I131+I137+I138+I139</f>
        <v>0</v>
      </c>
      <c r="J141" s="325">
        <f>J113+J119+J125+J131+J137+J138+J139</f>
        <v>0</v>
      </c>
      <c r="K141" s="330">
        <f>G141-(H141+I141+J141)</f>
        <v>0</v>
      </c>
      <c r="L141" s="11"/>
    </row>
    <row r="142" spans="1:12" ht="24.95" customHeight="1" x14ac:dyDescent="0.25">
      <c r="A142" s="389"/>
      <c r="B142" s="390"/>
      <c r="C142" s="390"/>
      <c r="D142" s="390"/>
      <c r="E142" s="390"/>
      <c r="F142" s="390"/>
      <c r="G142" s="390"/>
      <c r="H142" s="390"/>
      <c r="I142" s="390"/>
      <c r="J142" s="390"/>
      <c r="K142" s="391"/>
    </row>
    <row r="143" spans="1:12" ht="24.95" customHeight="1" x14ac:dyDescent="0.25">
      <c r="A143" s="1123" t="s">
        <v>196</v>
      </c>
      <c r="B143" s="1124"/>
      <c r="C143" s="1124"/>
      <c r="D143" s="1124"/>
      <c r="E143" s="390"/>
      <c r="F143" s="390"/>
      <c r="G143" s="390"/>
      <c r="H143" s="390"/>
      <c r="I143" s="390"/>
      <c r="J143" s="390"/>
      <c r="K143" s="391"/>
    </row>
    <row r="144" spans="1:12" ht="24.95" customHeight="1" thickBot="1" x14ac:dyDescent="0.3">
      <c r="A144" s="389"/>
      <c r="B144" s="390"/>
      <c r="C144" s="390"/>
      <c r="D144" s="390"/>
      <c r="E144" s="390"/>
      <c r="F144" s="390"/>
      <c r="G144" s="390"/>
      <c r="H144" s="390"/>
      <c r="I144" s="390"/>
      <c r="J144" s="390"/>
      <c r="K144" s="391"/>
    </row>
    <row r="145" spans="1:11" ht="44.1" customHeight="1" thickBot="1" x14ac:dyDescent="0.3">
      <c r="A145" s="1009" t="s">
        <v>37</v>
      </c>
      <c r="B145" s="896" t="s">
        <v>126</v>
      </c>
      <c r="C145" s="896"/>
      <c r="D145" s="1002" t="s">
        <v>46</v>
      </c>
      <c r="E145" s="986" t="s">
        <v>39</v>
      </c>
      <c r="F145" s="987"/>
      <c r="G145" s="898" t="s">
        <v>65</v>
      </c>
      <c r="H145" s="899"/>
      <c r="I145" s="899"/>
      <c r="J145" s="900"/>
      <c r="K145" s="891" t="s">
        <v>54</v>
      </c>
    </row>
    <row r="146" spans="1:11" ht="44.1" customHeight="1" thickBot="1" x14ac:dyDescent="0.3">
      <c r="A146" s="1010"/>
      <c r="B146" s="897"/>
      <c r="C146" s="897"/>
      <c r="D146" s="1003"/>
      <c r="E146" s="988"/>
      <c r="F146" s="989"/>
      <c r="G146" s="47" t="s">
        <v>66</v>
      </c>
      <c r="H146" s="325" t="s">
        <v>67</v>
      </c>
      <c r="I146" s="325" t="s">
        <v>68</v>
      </c>
      <c r="J146" s="46" t="s">
        <v>69</v>
      </c>
      <c r="K146" s="892"/>
    </row>
    <row r="147" spans="1:11" ht="24.95" customHeight="1" x14ac:dyDescent="0.25">
      <c r="A147" s="975">
        <f>A108</f>
        <v>1</v>
      </c>
      <c r="B147" s="867" t="str">
        <f>B108</f>
        <v>1. Fortalecimiento organizacional / empresarial</v>
      </c>
      <c r="C147" s="868"/>
      <c r="D147" s="868"/>
      <c r="E147" s="868"/>
      <c r="F147" s="868"/>
      <c r="G147" s="868"/>
      <c r="H147" s="868"/>
      <c r="I147" s="868"/>
      <c r="J147" s="868"/>
      <c r="K147" s="993"/>
    </row>
    <row r="148" spans="1:11" ht="24.95" customHeight="1" thickBot="1" x14ac:dyDescent="0.3">
      <c r="A148" s="976"/>
      <c r="B148" s="1176">
        <f>B109</f>
        <v>0</v>
      </c>
      <c r="C148" s="1177"/>
      <c r="D148" s="1177"/>
      <c r="E148" s="1177"/>
      <c r="F148" s="1177"/>
      <c r="G148" s="1177"/>
      <c r="H148" s="1177"/>
      <c r="I148" s="1177"/>
      <c r="J148" s="1177"/>
      <c r="K148" s="1178"/>
    </row>
    <row r="149" spans="1:11" ht="24.95" customHeight="1" x14ac:dyDescent="0.25">
      <c r="A149" s="976"/>
      <c r="B149" s="413">
        <v>1.1000000000000001</v>
      </c>
      <c r="C149" s="414" t="s">
        <v>49</v>
      </c>
      <c r="D149" s="415" t="s">
        <v>135</v>
      </c>
      <c r="E149" s="972"/>
      <c r="F149" s="973"/>
      <c r="G149" s="416"/>
      <c r="H149" s="416"/>
      <c r="I149" s="416"/>
      <c r="J149" s="416"/>
      <c r="K149" s="415">
        <f>E149-(G149+H149+I149+J149)</f>
        <v>0</v>
      </c>
    </row>
    <row r="150" spans="1:11" ht="24.95" customHeight="1" x14ac:dyDescent="0.25">
      <c r="A150" s="976"/>
      <c r="B150" s="417">
        <v>1.2</v>
      </c>
      <c r="C150" s="418" t="s">
        <v>50</v>
      </c>
      <c r="D150" s="397" t="s">
        <v>135</v>
      </c>
      <c r="E150" s="974"/>
      <c r="F150" s="912"/>
      <c r="G150" s="396"/>
      <c r="H150" s="396"/>
      <c r="I150" s="396"/>
      <c r="J150" s="396"/>
      <c r="K150" s="397">
        <f>E150-(G150+H150+I150+J150)</f>
        <v>0</v>
      </c>
    </row>
    <row r="151" spans="1:11" ht="24.95" customHeight="1" thickBot="1" x14ac:dyDescent="0.3">
      <c r="A151" s="977"/>
      <c r="B151" s="419">
        <v>1.3</v>
      </c>
      <c r="C151" s="420" t="s">
        <v>51</v>
      </c>
      <c r="D151" s="404"/>
      <c r="E151" s="1005"/>
      <c r="F151" s="1006"/>
      <c r="G151" s="421"/>
      <c r="H151" s="421"/>
      <c r="I151" s="421"/>
      <c r="J151" s="421"/>
      <c r="K151" s="404">
        <f>E151-(G151+H151+I151+J151)</f>
        <v>0</v>
      </c>
    </row>
    <row r="152" spans="1:11" ht="24.95" customHeight="1" x14ac:dyDescent="0.25">
      <c r="A152" s="976">
        <f>A147+1</f>
        <v>2</v>
      </c>
      <c r="B152" s="950" t="str">
        <f>B114</f>
        <v>2. Estandarización / calidad / certificaciones</v>
      </c>
      <c r="C152" s="951"/>
      <c r="D152" s="951"/>
      <c r="E152" s="951"/>
      <c r="F152" s="951"/>
      <c r="G152" s="951"/>
      <c r="H152" s="951"/>
      <c r="I152" s="951"/>
      <c r="J152" s="951"/>
      <c r="K152" s="952"/>
    </row>
    <row r="153" spans="1:11" ht="24.95" customHeight="1" thickBot="1" x14ac:dyDescent="0.3">
      <c r="A153" s="976"/>
      <c r="B153" s="995" t="str">
        <f>B115</f>
        <v>Capacitación y asistencia técnica para la implementación de un sistema de trazabilidad en la producción de quesos madurados orgánicos.</v>
      </c>
      <c r="C153" s="996"/>
      <c r="D153" s="996"/>
      <c r="E153" s="996"/>
      <c r="F153" s="996"/>
      <c r="G153" s="996"/>
      <c r="H153" s="996"/>
      <c r="I153" s="996"/>
      <c r="J153" s="996"/>
      <c r="K153" s="997"/>
    </row>
    <row r="154" spans="1:11" ht="24.95" customHeight="1" x14ac:dyDescent="0.25">
      <c r="A154" s="976"/>
      <c r="B154" s="413">
        <v>2.1</v>
      </c>
      <c r="C154" s="414" t="s">
        <v>49</v>
      </c>
      <c r="D154" s="415" t="str">
        <f>D149</f>
        <v>Nro.</v>
      </c>
      <c r="E154" s="893"/>
      <c r="F154" s="894"/>
      <c r="G154" s="416"/>
      <c r="H154" s="416">
        <v>400</v>
      </c>
      <c r="I154" s="416">
        <v>400</v>
      </c>
      <c r="J154" s="416"/>
      <c r="K154" s="415">
        <f>E154-(G154+H154+I154+J154)</f>
        <v>-800</v>
      </c>
    </row>
    <row r="155" spans="1:11" ht="24.95" customHeight="1" x14ac:dyDescent="0.25">
      <c r="A155" s="976"/>
      <c r="B155" s="417">
        <v>2.2000000000000002</v>
      </c>
      <c r="C155" s="418" t="s">
        <v>50</v>
      </c>
      <c r="D155" s="397" t="str">
        <f>D154</f>
        <v>Nro.</v>
      </c>
      <c r="E155" s="875">
        <v>16</v>
      </c>
      <c r="F155" s="876"/>
      <c r="G155" s="667"/>
      <c r="H155" s="652"/>
      <c r="I155" s="652">
        <v>8</v>
      </c>
      <c r="J155" s="396"/>
      <c r="K155" s="397">
        <f>E155-(G155+H155+I155+J155)</f>
        <v>8</v>
      </c>
    </row>
    <row r="156" spans="1:11" ht="24.95" customHeight="1" thickBot="1" x14ac:dyDescent="0.3">
      <c r="A156" s="976"/>
      <c r="B156" s="419">
        <v>2.2999999999999998</v>
      </c>
      <c r="C156" s="420" t="s">
        <v>51</v>
      </c>
      <c r="D156" s="404"/>
      <c r="E156" s="1005"/>
      <c r="F156" s="1006"/>
      <c r="G156" s="421"/>
      <c r="H156" s="421"/>
      <c r="I156" s="421"/>
      <c r="J156" s="421"/>
      <c r="K156" s="404">
        <f>E156-(G156+H156+I156+J156)</f>
        <v>0</v>
      </c>
    </row>
    <row r="157" spans="1:11" ht="24.95" customHeight="1" x14ac:dyDescent="0.25">
      <c r="A157" s="975">
        <f>A152+1</f>
        <v>3</v>
      </c>
      <c r="B157" s="950" t="str">
        <f>B120</f>
        <v>3. Comercialización / mercados / marketing  /comercio exterior</v>
      </c>
      <c r="C157" s="951"/>
      <c r="D157" s="951"/>
      <c r="E157" s="951"/>
      <c r="F157" s="951"/>
      <c r="G157" s="951"/>
      <c r="H157" s="951"/>
      <c r="I157" s="951"/>
      <c r="J157" s="951"/>
      <c r="K157" s="952"/>
    </row>
    <row r="158" spans="1:11" ht="24.95" customHeight="1" thickBot="1" x14ac:dyDescent="0.3">
      <c r="A158" s="976"/>
      <c r="B158" s="990">
        <f>B121</f>
        <v>0</v>
      </c>
      <c r="C158" s="991"/>
      <c r="D158" s="991"/>
      <c r="E158" s="991"/>
      <c r="F158" s="991"/>
      <c r="G158" s="991"/>
      <c r="H158" s="991"/>
      <c r="I158" s="991"/>
      <c r="J158" s="991"/>
      <c r="K158" s="992"/>
    </row>
    <row r="159" spans="1:11" ht="24.95" customHeight="1" x14ac:dyDescent="0.25">
      <c r="A159" s="976"/>
      <c r="B159" s="413">
        <v>3.1</v>
      </c>
      <c r="C159" s="414" t="s">
        <v>49</v>
      </c>
      <c r="D159" s="415" t="str">
        <f>D155</f>
        <v>Nro.</v>
      </c>
      <c r="E159" s="972"/>
      <c r="F159" s="973"/>
      <c r="G159" s="416"/>
      <c r="H159" s="416"/>
      <c r="I159" s="416"/>
      <c r="J159" s="416"/>
      <c r="K159" s="415">
        <f>E159-(G159+H159+I159+J159)</f>
        <v>0</v>
      </c>
    </row>
    <row r="160" spans="1:11" ht="24.95" customHeight="1" x14ac:dyDescent="0.25">
      <c r="A160" s="976"/>
      <c r="B160" s="417">
        <v>3.2</v>
      </c>
      <c r="C160" s="418" t="s">
        <v>50</v>
      </c>
      <c r="D160" s="397" t="str">
        <f>D159</f>
        <v>Nro.</v>
      </c>
      <c r="E160" s="974"/>
      <c r="F160" s="912"/>
      <c r="G160" s="396"/>
      <c r="H160" s="396"/>
      <c r="I160" s="396"/>
      <c r="J160" s="396"/>
      <c r="K160" s="397">
        <f>E160-(G160+H160+I160+J160)</f>
        <v>0</v>
      </c>
    </row>
    <row r="161" spans="1:11" ht="24.95" customHeight="1" x14ac:dyDescent="0.25">
      <c r="A161" s="976"/>
      <c r="B161" s="417">
        <v>3.3</v>
      </c>
      <c r="C161" s="418" t="s">
        <v>57</v>
      </c>
      <c r="D161" s="397" t="str">
        <f>D160</f>
        <v>Nro.</v>
      </c>
      <c r="E161" s="974"/>
      <c r="F161" s="912"/>
      <c r="G161" s="396"/>
      <c r="H161" s="396"/>
      <c r="I161" s="396"/>
      <c r="J161" s="396"/>
      <c r="K161" s="397">
        <f>E161-(G161+H161+I161+J161)</f>
        <v>0</v>
      </c>
    </row>
    <row r="162" spans="1:11" ht="24.95" customHeight="1" thickBot="1" x14ac:dyDescent="0.3">
      <c r="A162" s="977"/>
      <c r="B162" s="419">
        <v>3.4</v>
      </c>
      <c r="C162" s="420" t="s">
        <v>51</v>
      </c>
      <c r="D162" s="404"/>
      <c r="E162" s="1005"/>
      <c r="F162" s="1006"/>
      <c r="G162" s="421"/>
      <c r="H162" s="421"/>
      <c r="I162" s="421"/>
      <c r="J162" s="421"/>
      <c r="K162" s="404">
        <f>E162-(G162+H162+I162+J162)</f>
        <v>0</v>
      </c>
    </row>
    <row r="163" spans="1:11" ht="24.95" customHeight="1" x14ac:dyDescent="0.25">
      <c r="A163" s="976">
        <f>A157+1</f>
        <v>4</v>
      </c>
      <c r="B163" s="994" t="str">
        <f>B126</f>
        <v>4. Producción primaria (cultivos, crianzas) y/o en transformación</v>
      </c>
      <c r="C163" s="970"/>
      <c r="D163" s="970"/>
      <c r="E163" s="970"/>
      <c r="F163" s="970"/>
      <c r="G163" s="970"/>
      <c r="H163" s="970"/>
      <c r="I163" s="970"/>
      <c r="J163" s="970"/>
      <c r="K163" s="971"/>
    </row>
    <row r="164" spans="1:11" ht="24.95" customHeight="1" thickBot="1" x14ac:dyDescent="0.3">
      <c r="A164" s="976"/>
      <c r="B164" s="990">
        <f>B127</f>
        <v>0</v>
      </c>
      <c r="C164" s="991"/>
      <c r="D164" s="991"/>
      <c r="E164" s="991"/>
      <c r="F164" s="991"/>
      <c r="G164" s="991"/>
      <c r="H164" s="991"/>
      <c r="I164" s="991"/>
      <c r="J164" s="991"/>
      <c r="K164" s="992"/>
    </row>
    <row r="165" spans="1:11" ht="24.95" customHeight="1" x14ac:dyDescent="0.25">
      <c r="A165" s="976"/>
      <c r="B165" s="413">
        <v>4.0999999999999996</v>
      </c>
      <c r="C165" s="414" t="s">
        <v>49</v>
      </c>
      <c r="D165" s="415" t="s">
        <v>135</v>
      </c>
      <c r="E165" s="972"/>
      <c r="F165" s="973"/>
      <c r="G165" s="416"/>
      <c r="H165" s="416"/>
      <c r="I165" s="416"/>
      <c r="J165" s="416"/>
      <c r="K165" s="415">
        <f>E165-(G165+H165+I165+J165)</f>
        <v>0</v>
      </c>
    </row>
    <row r="166" spans="1:11" ht="24.95" customHeight="1" x14ac:dyDescent="0.25">
      <c r="A166" s="976"/>
      <c r="B166" s="417">
        <v>4.2</v>
      </c>
      <c r="C166" s="418" t="s">
        <v>50</v>
      </c>
      <c r="D166" s="397" t="str">
        <f>D165</f>
        <v>Nro.</v>
      </c>
      <c r="E166" s="974"/>
      <c r="F166" s="912"/>
      <c r="G166" s="396"/>
      <c r="H166" s="396"/>
      <c r="I166" s="396"/>
      <c r="J166" s="396"/>
      <c r="K166" s="397">
        <f>E166-(G166+H166+I166+J166)</f>
        <v>0</v>
      </c>
    </row>
    <row r="167" spans="1:11" ht="24.95" customHeight="1" thickBot="1" x14ac:dyDescent="0.3">
      <c r="A167" s="976"/>
      <c r="B167" s="419">
        <v>4.3</v>
      </c>
      <c r="C167" s="420" t="s">
        <v>51</v>
      </c>
      <c r="D167" s="404"/>
      <c r="E167" s="1005"/>
      <c r="F167" s="1006"/>
      <c r="G167" s="421"/>
      <c r="H167" s="421"/>
      <c r="I167" s="421"/>
      <c r="J167" s="421"/>
      <c r="K167" s="404">
        <f>E167-(G167+H167+I167+J167)</f>
        <v>0</v>
      </c>
    </row>
    <row r="168" spans="1:11" ht="24.95" customHeight="1" x14ac:dyDescent="0.25">
      <c r="A168" s="975">
        <v>5</v>
      </c>
      <c r="B168" s="970" t="str">
        <f>B132</f>
        <v>5. Gestión de financiamiento</v>
      </c>
      <c r="C168" s="970"/>
      <c r="D168" s="970"/>
      <c r="E168" s="970"/>
      <c r="F168" s="970"/>
      <c r="G168" s="970"/>
      <c r="H168" s="970"/>
      <c r="I168" s="970"/>
      <c r="J168" s="970"/>
      <c r="K168" s="971"/>
    </row>
    <row r="169" spans="1:11" ht="24.95" customHeight="1" thickBot="1" x14ac:dyDescent="0.3">
      <c r="A169" s="976"/>
      <c r="B169" s="991">
        <f>B133</f>
        <v>0</v>
      </c>
      <c r="C169" s="991"/>
      <c r="D169" s="991"/>
      <c r="E169" s="991"/>
      <c r="F169" s="991"/>
      <c r="G169" s="991"/>
      <c r="H169" s="991"/>
      <c r="I169" s="991"/>
      <c r="J169" s="991"/>
      <c r="K169" s="992"/>
    </row>
    <row r="170" spans="1:11" ht="24.95" customHeight="1" x14ac:dyDescent="0.25">
      <c r="A170" s="976"/>
      <c r="B170" s="422">
        <v>4.0999999999999996</v>
      </c>
      <c r="C170" s="414" t="s">
        <v>49</v>
      </c>
      <c r="D170" s="415" t="str">
        <f>D166</f>
        <v>Nro.</v>
      </c>
      <c r="E170" s="972"/>
      <c r="F170" s="973"/>
      <c r="G170" s="416"/>
      <c r="H170" s="416"/>
      <c r="I170" s="416"/>
      <c r="J170" s="423"/>
      <c r="K170" s="415">
        <f t="shared" ref="K170:K180" si="0">E170-(G170+H170+I170+J170)</f>
        <v>0</v>
      </c>
    </row>
    <row r="171" spans="1:11" ht="24.95" customHeight="1" x14ac:dyDescent="0.25">
      <c r="A171" s="976"/>
      <c r="B171" s="424">
        <v>4.2</v>
      </c>
      <c r="C171" s="418" t="s">
        <v>50</v>
      </c>
      <c r="D171" s="397" t="str">
        <f>D170</f>
        <v>Nro.</v>
      </c>
      <c r="E171" s="974"/>
      <c r="F171" s="912"/>
      <c r="G171" s="396"/>
      <c r="H171" s="396"/>
      <c r="I171" s="396"/>
      <c r="J171" s="425"/>
      <c r="K171" s="397">
        <f t="shared" si="0"/>
        <v>0</v>
      </c>
    </row>
    <row r="172" spans="1:11" ht="24.95" customHeight="1" thickBot="1" x14ac:dyDescent="0.3">
      <c r="A172" s="977"/>
      <c r="B172" s="426">
        <v>4.3</v>
      </c>
      <c r="C172" s="420" t="s">
        <v>51</v>
      </c>
      <c r="D172" s="427"/>
      <c r="E172" s="1005"/>
      <c r="F172" s="1006"/>
      <c r="G172" s="421"/>
      <c r="H172" s="421"/>
      <c r="I172" s="421"/>
      <c r="J172" s="428"/>
      <c r="K172" s="404">
        <f t="shared" si="0"/>
        <v>0</v>
      </c>
    </row>
    <row r="173" spans="1:11" ht="24.95" customHeight="1" thickBot="1" x14ac:dyDescent="0.3">
      <c r="A173" s="1134">
        <v>6</v>
      </c>
      <c r="B173" s="1144">
        <f>B138</f>
        <v>0</v>
      </c>
      <c r="C173" s="1144"/>
      <c r="D173" s="1144"/>
      <c r="E173" s="1144"/>
      <c r="F173" s="1144"/>
      <c r="G173" s="1144"/>
      <c r="H173" s="1144"/>
      <c r="I173" s="1144"/>
      <c r="J173" s="1144"/>
      <c r="K173" s="1145"/>
    </row>
    <row r="174" spans="1:11" ht="24.95" customHeight="1" x14ac:dyDescent="0.25">
      <c r="A174" s="1135"/>
      <c r="B174" s="422">
        <v>6.1</v>
      </c>
      <c r="C174" s="414"/>
      <c r="D174" s="415"/>
      <c r="E174" s="972"/>
      <c r="F174" s="973"/>
      <c r="G174" s="416"/>
      <c r="H174" s="416"/>
      <c r="I174" s="416"/>
      <c r="J174" s="416"/>
      <c r="K174" s="415">
        <f t="shared" si="0"/>
        <v>0</v>
      </c>
    </row>
    <row r="175" spans="1:11" ht="24.95" customHeight="1" x14ac:dyDescent="0.25">
      <c r="A175" s="1135"/>
      <c r="B175" s="424">
        <v>6.2</v>
      </c>
      <c r="C175" s="418"/>
      <c r="D175" s="397"/>
      <c r="E175" s="974"/>
      <c r="F175" s="912"/>
      <c r="G175" s="396"/>
      <c r="H175" s="396"/>
      <c r="I175" s="396"/>
      <c r="J175" s="396"/>
      <c r="K175" s="397">
        <f t="shared" si="0"/>
        <v>0</v>
      </c>
    </row>
    <row r="176" spans="1:11" ht="24.95" customHeight="1" thickBot="1" x14ac:dyDescent="0.3">
      <c r="A176" s="1136"/>
      <c r="B176" s="426">
        <v>6.3</v>
      </c>
      <c r="C176" s="420"/>
      <c r="D176" s="404"/>
      <c r="E176" s="1005"/>
      <c r="F176" s="1006"/>
      <c r="G176" s="421"/>
      <c r="H176" s="421"/>
      <c r="I176" s="421"/>
      <c r="J176" s="421"/>
      <c r="K176" s="404">
        <f t="shared" si="0"/>
        <v>0</v>
      </c>
    </row>
    <row r="177" spans="1:11" ht="24.95" customHeight="1" thickBot="1" x14ac:dyDescent="0.3">
      <c r="A177" s="975">
        <v>7</v>
      </c>
      <c r="B177" s="1026">
        <f>B139</f>
        <v>0</v>
      </c>
      <c r="C177" s="1026"/>
      <c r="D177" s="1026"/>
      <c r="E177" s="1026"/>
      <c r="F177" s="1026"/>
      <c r="G177" s="1026"/>
      <c r="H177" s="1026"/>
      <c r="I177" s="1026"/>
      <c r="J177" s="1026"/>
      <c r="K177" s="1027"/>
    </row>
    <row r="178" spans="1:11" ht="24.95" customHeight="1" x14ac:dyDescent="0.25">
      <c r="A178" s="976"/>
      <c r="B178" s="429">
        <v>7.1</v>
      </c>
      <c r="C178" s="414"/>
      <c r="D178" s="415"/>
      <c r="E178" s="972"/>
      <c r="F178" s="973"/>
      <c r="G178" s="416"/>
      <c r="H178" s="416"/>
      <c r="I178" s="416"/>
      <c r="J178" s="416"/>
      <c r="K178" s="415">
        <f t="shared" si="0"/>
        <v>0</v>
      </c>
    </row>
    <row r="179" spans="1:11" ht="24.95" customHeight="1" x14ac:dyDescent="0.25">
      <c r="A179" s="976"/>
      <c r="B179" s="430">
        <v>7.3</v>
      </c>
      <c r="C179" s="418"/>
      <c r="D179" s="397"/>
      <c r="E179" s="974"/>
      <c r="F179" s="912"/>
      <c r="G179" s="396"/>
      <c r="H179" s="396"/>
      <c r="I179" s="396"/>
      <c r="J179" s="396"/>
      <c r="K179" s="397">
        <f t="shared" si="0"/>
        <v>0</v>
      </c>
    </row>
    <row r="180" spans="1:11" ht="24.95" customHeight="1" thickBot="1" x14ac:dyDescent="0.3">
      <c r="A180" s="977"/>
      <c r="B180" s="431">
        <v>7.3</v>
      </c>
      <c r="C180" s="420"/>
      <c r="D180" s="404"/>
      <c r="E180" s="1005"/>
      <c r="F180" s="1006"/>
      <c r="G180" s="421"/>
      <c r="H180" s="421"/>
      <c r="I180" s="421"/>
      <c r="J180" s="421"/>
      <c r="K180" s="404">
        <f t="shared" si="0"/>
        <v>0</v>
      </c>
    </row>
    <row r="181" spans="1:11" ht="24.95" customHeight="1" x14ac:dyDescent="0.25">
      <c r="A181" s="380"/>
      <c r="B181" s="336"/>
      <c r="C181" s="336"/>
      <c r="D181" s="410"/>
      <c r="E181" s="410"/>
      <c r="F181" s="410"/>
      <c r="G181" s="410"/>
      <c r="H181" s="410"/>
      <c r="I181" s="410"/>
      <c r="J181" s="410"/>
      <c r="K181" s="411"/>
    </row>
    <row r="182" spans="1:11" ht="20.25" customHeight="1" x14ac:dyDescent="0.25">
      <c r="A182" s="948" t="s">
        <v>197</v>
      </c>
      <c r="B182" s="949"/>
      <c r="C182" s="949"/>
      <c r="D182" s="949"/>
      <c r="E182" s="949"/>
      <c r="F182" s="949"/>
      <c r="G182" s="949"/>
      <c r="H182" s="949"/>
      <c r="I182" s="949"/>
      <c r="J182" s="949"/>
      <c r="K182" s="1223"/>
    </row>
    <row r="183" spans="1:11" ht="20.25" customHeight="1" thickBot="1" x14ac:dyDescent="0.3">
      <c r="A183" s="389"/>
      <c r="B183" s="390"/>
      <c r="C183" s="390"/>
      <c r="D183" s="390"/>
      <c r="E183" s="390"/>
      <c r="F183" s="390"/>
      <c r="G183" s="390"/>
      <c r="H183" s="390"/>
      <c r="I183" s="390"/>
      <c r="J183" s="390"/>
      <c r="K183" s="391"/>
    </row>
    <row r="184" spans="1:11" ht="44.1" customHeight="1" thickBot="1" x14ac:dyDescent="0.3">
      <c r="A184" s="1009"/>
      <c r="B184" s="896" t="s">
        <v>126</v>
      </c>
      <c r="C184" s="896"/>
      <c r="D184" s="1002" t="s">
        <v>46</v>
      </c>
      <c r="E184" s="986" t="s">
        <v>39</v>
      </c>
      <c r="F184" s="987"/>
      <c r="G184" s="898" t="s">
        <v>65</v>
      </c>
      <c r="H184" s="899"/>
      <c r="I184" s="899"/>
      <c r="J184" s="900"/>
      <c r="K184" s="891" t="s">
        <v>54</v>
      </c>
    </row>
    <row r="185" spans="1:11" ht="44.1" customHeight="1" thickBot="1" x14ac:dyDescent="0.3">
      <c r="A185" s="1010"/>
      <c r="B185" s="897"/>
      <c r="C185" s="897"/>
      <c r="D185" s="1003"/>
      <c r="E185" s="988"/>
      <c r="F185" s="989"/>
      <c r="G185" s="47" t="s">
        <v>66</v>
      </c>
      <c r="H185" s="325" t="s">
        <v>67</v>
      </c>
      <c r="I185" s="325" t="s">
        <v>68</v>
      </c>
      <c r="J185" s="46" t="s">
        <v>69</v>
      </c>
      <c r="K185" s="892"/>
    </row>
    <row r="186" spans="1:11" ht="24.95" customHeight="1" x14ac:dyDescent="0.25">
      <c r="A186" s="975"/>
      <c r="B186" s="413">
        <v>1.1000000000000001</v>
      </c>
      <c r="C186" s="414" t="str">
        <f t="shared" ref="C186:D188" si="1">C149</f>
        <v>Asistencia Técnica</v>
      </c>
      <c r="D186" s="415" t="str">
        <f t="shared" si="1"/>
        <v>Nro.</v>
      </c>
      <c r="E186" s="1018">
        <f>E149+E154+E159+E165+E170</f>
        <v>0</v>
      </c>
      <c r="F186" s="1019"/>
      <c r="G186" s="432">
        <f t="shared" ref="G186:J187" si="2">G149+G154+G159+G165+G170</f>
        <v>0</v>
      </c>
      <c r="H186" s="432">
        <f t="shared" si="2"/>
        <v>400</v>
      </c>
      <c r="I186" s="432">
        <f t="shared" si="2"/>
        <v>400</v>
      </c>
      <c r="J186" s="432">
        <f t="shared" si="2"/>
        <v>0</v>
      </c>
      <c r="K186" s="397">
        <f t="shared" ref="K186:K199" si="3">E186-(G186+H186+I186+J186)</f>
        <v>-800</v>
      </c>
    </row>
    <row r="187" spans="1:11" ht="24.95" customHeight="1" x14ac:dyDescent="0.25">
      <c r="A187" s="976"/>
      <c r="B187" s="417">
        <v>1.2</v>
      </c>
      <c r="C187" s="418" t="str">
        <f t="shared" si="1"/>
        <v>Capacitaciones</v>
      </c>
      <c r="D187" s="397" t="str">
        <f t="shared" si="1"/>
        <v>Nro.</v>
      </c>
      <c r="E187" s="998">
        <f>E150+E155+E160+E166+E171</f>
        <v>16</v>
      </c>
      <c r="F187" s="999"/>
      <c r="G187" s="433">
        <f t="shared" si="2"/>
        <v>0</v>
      </c>
      <c r="H187" s="433">
        <f t="shared" si="2"/>
        <v>0</v>
      </c>
      <c r="I187" s="433">
        <f t="shared" si="2"/>
        <v>8</v>
      </c>
      <c r="J187" s="433">
        <f t="shared" si="2"/>
        <v>0</v>
      </c>
      <c r="K187" s="397">
        <f t="shared" si="3"/>
        <v>8</v>
      </c>
    </row>
    <row r="188" spans="1:11" ht="24.95" customHeight="1" x14ac:dyDescent="0.25">
      <c r="A188" s="976"/>
      <c r="B188" s="434">
        <v>1.3</v>
      </c>
      <c r="C188" s="435" t="str">
        <f t="shared" si="1"/>
        <v>Otro (especificar)</v>
      </c>
      <c r="D188" s="436">
        <f t="shared" si="1"/>
        <v>0</v>
      </c>
      <c r="E188" s="998">
        <f>E151</f>
        <v>0</v>
      </c>
      <c r="F188" s="999"/>
      <c r="G188" s="437">
        <f>G151</f>
        <v>0</v>
      </c>
      <c r="H188" s="437">
        <f>H151</f>
        <v>0</v>
      </c>
      <c r="I188" s="437">
        <f>I151</f>
        <v>0</v>
      </c>
      <c r="J188" s="437">
        <f>J151</f>
        <v>0</v>
      </c>
      <c r="K188" s="397">
        <f t="shared" si="3"/>
        <v>0</v>
      </c>
    </row>
    <row r="189" spans="1:11" ht="24.95" customHeight="1" x14ac:dyDescent="0.25">
      <c r="A189" s="976"/>
      <c r="B189" s="434">
        <v>1.4</v>
      </c>
      <c r="C189" s="435" t="str">
        <f>C156</f>
        <v>Otro (especificar)</v>
      </c>
      <c r="D189" s="436">
        <f>D156</f>
        <v>0</v>
      </c>
      <c r="E189" s="998">
        <f>E156</f>
        <v>0</v>
      </c>
      <c r="F189" s="999"/>
      <c r="G189" s="437">
        <f>G156</f>
        <v>0</v>
      </c>
      <c r="H189" s="437">
        <f>H156</f>
        <v>0</v>
      </c>
      <c r="I189" s="437">
        <f>I156</f>
        <v>0</v>
      </c>
      <c r="J189" s="437">
        <f>J156</f>
        <v>0</v>
      </c>
      <c r="K189" s="397">
        <f t="shared" si="3"/>
        <v>0</v>
      </c>
    </row>
    <row r="190" spans="1:11" ht="24.95" customHeight="1" x14ac:dyDescent="0.25">
      <c r="A190" s="976"/>
      <c r="B190" s="434">
        <v>1.5</v>
      </c>
      <c r="C190" s="435" t="str">
        <f t="shared" ref="C190:E191" si="4">C161</f>
        <v>Ferias/ruedas de negocios</v>
      </c>
      <c r="D190" s="436" t="str">
        <f t="shared" si="4"/>
        <v>Nro.</v>
      </c>
      <c r="E190" s="998">
        <f t="shared" si="4"/>
        <v>0</v>
      </c>
      <c r="F190" s="999"/>
      <c r="G190" s="437">
        <f t="shared" ref="G190:J191" si="5">G161</f>
        <v>0</v>
      </c>
      <c r="H190" s="437">
        <f t="shared" si="5"/>
        <v>0</v>
      </c>
      <c r="I190" s="437">
        <f t="shared" si="5"/>
        <v>0</v>
      </c>
      <c r="J190" s="437">
        <f t="shared" si="5"/>
        <v>0</v>
      </c>
      <c r="K190" s="397">
        <f t="shared" si="3"/>
        <v>0</v>
      </c>
    </row>
    <row r="191" spans="1:11" ht="24.95" customHeight="1" x14ac:dyDescent="0.25">
      <c r="A191" s="976"/>
      <c r="B191" s="434">
        <v>1.6</v>
      </c>
      <c r="C191" s="435" t="str">
        <f t="shared" si="4"/>
        <v>Otro (especificar)</v>
      </c>
      <c r="D191" s="436">
        <f t="shared" si="4"/>
        <v>0</v>
      </c>
      <c r="E191" s="998">
        <f t="shared" si="4"/>
        <v>0</v>
      </c>
      <c r="F191" s="999"/>
      <c r="G191" s="437">
        <f t="shared" si="5"/>
        <v>0</v>
      </c>
      <c r="H191" s="437">
        <f t="shared" si="5"/>
        <v>0</v>
      </c>
      <c r="I191" s="437">
        <f t="shared" si="5"/>
        <v>0</v>
      </c>
      <c r="J191" s="437">
        <f t="shared" si="5"/>
        <v>0</v>
      </c>
      <c r="K191" s="397">
        <f t="shared" si="3"/>
        <v>0</v>
      </c>
    </row>
    <row r="192" spans="1:11" ht="24.95" customHeight="1" x14ac:dyDescent="0.25">
      <c r="A192" s="976"/>
      <c r="B192" s="434">
        <v>1.7</v>
      </c>
      <c r="C192" s="435" t="str">
        <f>C167</f>
        <v>Otro (especificar)</v>
      </c>
      <c r="D192" s="436">
        <f>D167</f>
        <v>0</v>
      </c>
      <c r="E192" s="998">
        <f>E167</f>
        <v>0</v>
      </c>
      <c r="F192" s="999"/>
      <c r="G192" s="437">
        <f>G167</f>
        <v>0</v>
      </c>
      <c r="H192" s="437">
        <f>H167</f>
        <v>0</v>
      </c>
      <c r="I192" s="437">
        <f>I167</f>
        <v>0</v>
      </c>
      <c r="J192" s="437">
        <f>J167</f>
        <v>0</v>
      </c>
      <c r="K192" s="397">
        <f t="shared" si="3"/>
        <v>0</v>
      </c>
    </row>
    <row r="193" spans="1:12" ht="24.95" customHeight="1" x14ac:dyDescent="0.25">
      <c r="A193" s="976"/>
      <c r="B193" s="434">
        <v>1.8</v>
      </c>
      <c r="C193" s="435" t="str">
        <f>C172</f>
        <v>Otro (especificar)</v>
      </c>
      <c r="D193" s="436">
        <f>D172</f>
        <v>0</v>
      </c>
      <c r="E193" s="998">
        <f>E172</f>
        <v>0</v>
      </c>
      <c r="F193" s="999"/>
      <c r="G193" s="437">
        <f>G172</f>
        <v>0</v>
      </c>
      <c r="H193" s="437">
        <f>H172</f>
        <v>0</v>
      </c>
      <c r="I193" s="437">
        <f>I172</f>
        <v>0</v>
      </c>
      <c r="J193" s="437">
        <f>J172</f>
        <v>0</v>
      </c>
      <c r="K193" s="397">
        <f t="shared" si="3"/>
        <v>0</v>
      </c>
    </row>
    <row r="194" spans="1:12" ht="24.95" customHeight="1" x14ac:dyDescent="0.25">
      <c r="A194" s="976"/>
      <c r="B194" s="434">
        <v>1.9</v>
      </c>
      <c r="C194" s="435">
        <f t="shared" ref="C194:E196" si="6">C174</f>
        <v>0</v>
      </c>
      <c r="D194" s="436">
        <f t="shared" si="6"/>
        <v>0</v>
      </c>
      <c r="E194" s="998">
        <f t="shared" si="6"/>
        <v>0</v>
      </c>
      <c r="F194" s="999"/>
      <c r="G194" s="437">
        <f t="shared" ref="G194:J196" si="7">G174</f>
        <v>0</v>
      </c>
      <c r="H194" s="437">
        <f t="shared" si="7"/>
        <v>0</v>
      </c>
      <c r="I194" s="437">
        <f t="shared" si="7"/>
        <v>0</v>
      </c>
      <c r="J194" s="437">
        <f t="shared" si="7"/>
        <v>0</v>
      </c>
      <c r="K194" s="397">
        <f t="shared" si="3"/>
        <v>0</v>
      </c>
    </row>
    <row r="195" spans="1:12" ht="24.95" customHeight="1" x14ac:dyDescent="0.25">
      <c r="A195" s="976"/>
      <c r="B195" s="434">
        <v>110</v>
      </c>
      <c r="C195" s="435">
        <f t="shared" si="6"/>
        <v>0</v>
      </c>
      <c r="D195" s="436">
        <f t="shared" si="6"/>
        <v>0</v>
      </c>
      <c r="E195" s="998">
        <f t="shared" si="6"/>
        <v>0</v>
      </c>
      <c r="F195" s="999"/>
      <c r="G195" s="437">
        <f t="shared" si="7"/>
        <v>0</v>
      </c>
      <c r="H195" s="437">
        <f t="shared" si="7"/>
        <v>0</v>
      </c>
      <c r="I195" s="437">
        <f t="shared" si="7"/>
        <v>0</v>
      </c>
      <c r="J195" s="437">
        <f t="shared" si="7"/>
        <v>0</v>
      </c>
      <c r="K195" s="397">
        <f t="shared" si="3"/>
        <v>0</v>
      </c>
    </row>
    <row r="196" spans="1:12" ht="24.95" customHeight="1" x14ac:dyDescent="0.25">
      <c r="A196" s="976"/>
      <c r="B196" s="434">
        <v>1.1100000000000001</v>
      </c>
      <c r="C196" s="435">
        <f t="shared" si="6"/>
        <v>0</v>
      </c>
      <c r="D196" s="436">
        <f t="shared" si="6"/>
        <v>0</v>
      </c>
      <c r="E196" s="998">
        <f t="shared" si="6"/>
        <v>0</v>
      </c>
      <c r="F196" s="999"/>
      <c r="G196" s="437">
        <f t="shared" si="7"/>
        <v>0</v>
      </c>
      <c r="H196" s="437">
        <f t="shared" si="7"/>
        <v>0</v>
      </c>
      <c r="I196" s="437">
        <f t="shared" si="7"/>
        <v>0</v>
      </c>
      <c r="J196" s="437">
        <f t="shared" si="7"/>
        <v>0</v>
      </c>
      <c r="K196" s="397">
        <f t="shared" si="3"/>
        <v>0</v>
      </c>
    </row>
    <row r="197" spans="1:12" ht="24.95" customHeight="1" x14ac:dyDescent="0.25">
      <c r="A197" s="976"/>
      <c r="B197" s="434">
        <v>1.1200000000000001</v>
      </c>
      <c r="C197" s="435">
        <f t="shared" ref="C197:E199" si="8">C178</f>
        <v>0</v>
      </c>
      <c r="D197" s="436">
        <f t="shared" si="8"/>
        <v>0</v>
      </c>
      <c r="E197" s="998">
        <f t="shared" si="8"/>
        <v>0</v>
      </c>
      <c r="F197" s="999"/>
      <c r="G197" s="437">
        <f t="shared" ref="G197:J199" si="9">G178</f>
        <v>0</v>
      </c>
      <c r="H197" s="437">
        <f t="shared" si="9"/>
        <v>0</v>
      </c>
      <c r="I197" s="437">
        <f t="shared" si="9"/>
        <v>0</v>
      </c>
      <c r="J197" s="437">
        <f t="shared" si="9"/>
        <v>0</v>
      </c>
      <c r="K197" s="397">
        <f t="shared" si="3"/>
        <v>0</v>
      </c>
    </row>
    <row r="198" spans="1:12" ht="24.95" customHeight="1" x14ac:dyDescent="0.25">
      <c r="A198" s="976"/>
      <c r="B198" s="434">
        <v>1.1299999999999999</v>
      </c>
      <c r="C198" s="435">
        <f t="shared" si="8"/>
        <v>0</v>
      </c>
      <c r="D198" s="436">
        <f t="shared" si="8"/>
        <v>0</v>
      </c>
      <c r="E198" s="998">
        <f t="shared" si="8"/>
        <v>0</v>
      </c>
      <c r="F198" s="999"/>
      <c r="G198" s="437">
        <f t="shared" si="9"/>
        <v>0</v>
      </c>
      <c r="H198" s="437">
        <f t="shared" si="9"/>
        <v>0</v>
      </c>
      <c r="I198" s="437">
        <f t="shared" si="9"/>
        <v>0</v>
      </c>
      <c r="J198" s="437">
        <f t="shared" si="9"/>
        <v>0</v>
      </c>
      <c r="K198" s="397">
        <f t="shared" si="3"/>
        <v>0</v>
      </c>
    </row>
    <row r="199" spans="1:12" ht="24.95" customHeight="1" x14ac:dyDescent="0.25">
      <c r="A199" s="976"/>
      <c r="B199" s="434">
        <v>1.1399999999999999</v>
      </c>
      <c r="C199" s="435">
        <f t="shared" si="8"/>
        <v>0</v>
      </c>
      <c r="D199" s="436">
        <f t="shared" si="8"/>
        <v>0</v>
      </c>
      <c r="E199" s="998">
        <f t="shared" si="8"/>
        <v>0</v>
      </c>
      <c r="F199" s="999"/>
      <c r="G199" s="437">
        <f t="shared" si="9"/>
        <v>0</v>
      </c>
      <c r="H199" s="437">
        <f t="shared" si="9"/>
        <v>0</v>
      </c>
      <c r="I199" s="437">
        <f t="shared" si="9"/>
        <v>0</v>
      </c>
      <c r="J199" s="437">
        <f t="shared" si="9"/>
        <v>0</v>
      </c>
      <c r="K199" s="397">
        <f t="shared" si="3"/>
        <v>0</v>
      </c>
    </row>
    <row r="200" spans="1:12" ht="24.95" customHeight="1" thickBot="1" x14ac:dyDescent="0.3">
      <c r="A200" s="977"/>
      <c r="B200" s="419"/>
      <c r="C200" s="420"/>
      <c r="D200" s="404"/>
      <c r="E200" s="438"/>
      <c r="F200" s="439"/>
      <c r="G200" s="427"/>
      <c r="H200" s="427"/>
      <c r="I200" s="427"/>
      <c r="J200" s="427"/>
      <c r="K200" s="404"/>
    </row>
    <row r="201" spans="1:12" ht="20.25" customHeight="1" x14ac:dyDescent="0.25">
      <c r="A201" s="389"/>
      <c r="B201" s="390"/>
      <c r="C201" s="390"/>
      <c r="D201" s="390"/>
      <c r="E201" s="390"/>
      <c r="F201" s="390"/>
      <c r="G201" s="390"/>
      <c r="H201" s="390"/>
      <c r="I201" s="390"/>
      <c r="J201" s="390"/>
      <c r="K201" s="391"/>
    </row>
    <row r="202" spans="1:12" ht="22.5" customHeight="1" x14ac:dyDescent="0.25">
      <c r="A202" s="380"/>
      <c r="B202" s="381"/>
      <c r="C202" s="381"/>
      <c r="D202" s="381"/>
      <c r="E202" s="381"/>
      <c r="F202" s="381"/>
      <c r="G202" s="381"/>
      <c r="H202" s="381"/>
      <c r="I202" s="381"/>
      <c r="J202" s="381"/>
      <c r="K202" s="382"/>
    </row>
    <row r="203" spans="1:12" ht="30" customHeight="1" x14ac:dyDescent="0.25">
      <c r="A203" s="882" t="s">
        <v>209</v>
      </c>
      <c r="B203" s="883"/>
      <c r="C203" s="883"/>
      <c r="D203" s="883"/>
      <c r="E203" s="883"/>
      <c r="F203" s="883"/>
      <c r="G203" s="883"/>
      <c r="H203" s="883"/>
      <c r="I203" s="883"/>
      <c r="J203" s="883"/>
      <c r="K203" s="440"/>
      <c r="L203" s="25"/>
    </row>
    <row r="204" spans="1:12" ht="15" customHeight="1" x14ac:dyDescent="0.25">
      <c r="A204" s="441"/>
      <c r="B204" s="442"/>
      <c r="C204" s="442"/>
      <c r="D204" s="442"/>
      <c r="E204" s="442"/>
      <c r="F204" s="442"/>
      <c r="G204" s="442"/>
      <c r="H204" s="442"/>
      <c r="I204" s="442"/>
      <c r="J204" s="442"/>
      <c r="K204" s="443"/>
    </row>
    <row r="205" spans="1:12" ht="15.75" customHeight="1" x14ac:dyDescent="0.25">
      <c r="A205" s="444"/>
      <c r="B205" s="337"/>
      <c r="C205" s="337"/>
      <c r="D205" s="337"/>
      <c r="E205" s="337"/>
      <c r="F205" s="337"/>
      <c r="G205" s="337"/>
      <c r="H205" s="337"/>
      <c r="I205" s="337"/>
      <c r="J205" s="337"/>
      <c r="K205" s="338"/>
    </row>
    <row r="206" spans="1:12" ht="30" customHeight="1" x14ac:dyDescent="0.25">
      <c r="A206" s="979" t="s">
        <v>198</v>
      </c>
      <c r="B206" s="980"/>
      <c r="C206" s="980"/>
      <c r="D206" s="980"/>
      <c r="E206" s="980"/>
      <c r="F206" s="980"/>
      <c r="G206" s="980"/>
      <c r="H206" s="980"/>
      <c r="I206" s="980"/>
      <c r="J206" s="980"/>
      <c r="K206" s="1044"/>
    </row>
    <row r="207" spans="1:12" ht="30" customHeight="1" x14ac:dyDescent="0.25">
      <c r="A207" s="1038" t="s">
        <v>221</v>
      </c>
      <c r="B207" s="1039"/>
      <c r="C207" s="1039"/>
      <c r="D207" s="1039"/>
      <c r="E207" s="1039"/>
      <c r="F207" s="1039"/>
      <c r="G207" s="1039"/>
      <c r="H207" s="1039"/>
      <c r="I207" s="1039"/>
      <c r="J207" s="1039"/>
      <c r="K207" s="1180"/>
    </row>
    <row r="208" spans="1:12" ht="17.25" customHeight="1" x14ac:dyDescent="0.25">
      <c r="A208" s="445"/>
      <c r="B208" s="446"/>
      <c r="C208" s="446"/>
      <c r="D208" s="446"/>
      <c r="E208" s="446"/>
      <c r="F208" s="381"/>
      <c r="G208" s="381"/>
      <c r="H208" s="381"/>
      <c r="I208" s="447"/>
      <c r="J208" s="447"/>
      <c r="K208" s="448"/>
    </row>
    <row r="209" spans="1:12" ht="17.25" customHeight="1" x14ac:dyDescent="0.25">
      <c r="A209" s="444"/>
      <c r="B209" s="337"/>
      <c r="C209" s="337"/>
      <c r="D209" s="337"/>
      <c r="E209" s="337"/>
      <c r="F209" s="337"/>
      <c r="G209" s="446"/>
      <c r="H209" s="446"/>
      <c r="I209" s="446"/>
      <c r="J209" s="446"/>
      <c r="K209" s="449"/>
      <c r="L209" s="6"/>
    </row>
    <row r="210" spans="1:12" ht="50.1" customHeight="1" x14ac:dyDescent="0.25">
      <c r="A210" s="450"/>
      <c r="B210" s="451"/>
      <c r="C210" s="451"/>
      <c r="D210" s="451"/>
      <c r="E210" s="452"/>
      <c r="F210" s="451"/>
      <c r="G210" s="452"/>
      <c r="H210" s="1015" t="s">
        <v>97</v>
      </c>
      <c r="I210" s="1015"/>
      <c r="J210" s="1034" t="s">
        <v>95</v>
      </c>
      <c r="K210" s="338"/>
    </row>
    <row r="211" spans="1:12" ht="50.1" customHeight="1" x14ac:dyDescent="0.25">
      <c r="A211" s="1179" t="s">
        <v>34</v>
      </c>
      <c r="B211" s="1179"/>
      <c r="C211" s="1179"/>
      <c r="D211" s="328" t="s">
        <v>59</v>
      </c>
      <c r="E211" s="327" t="s">
        <v>143</v>
      </c>
      <c r="F211" s="328" t="s">
        <v>39</v>
      </c>
      <c r="G211" s="327" t="s">
        <v>93</v>
      </c>
      <c r="H211" s="327" t="s">
        <v>91</v>
      </c>
      <c r="I211" s="327" t="s">
        <v>96</v>
      </c>
      <c r="J211" s="1035"/>
      <c r="K211" s="338"/>
    </row>
    <row r="212" spans="1:12" ht="32.1" customHeight="1" x14ac:dyDescent="0.25">
      <c r="A212" s="1141">
        <v>2017</v>
      </c>
      <c r="B212" s="1142"/>
      <c r="C212" s="1143"/>
      <c r="D212" s="453">
        <f>'Costo de Producción propuesto'!C14</f>
        <v>0</v>
      </c>
      <c r="E212" s="518">
        <f>'Costo de Producción inicial'!F97</f>
        <v>0</v>
      </c>
      <c r="F212" s="560">
        <f>'Costo de Producción inicial'!E13</f>
        <v>0</v>
      </c>
      <c r="G212" s="523">
        <f>E212*F212</f>
        <v>0</v>
      </c>
      <c r="H212" s="521">
        <f>G212</f>
        <v>0</v>
      </c>
      <c r="I212" s="522"/>
      <c r="J212" s="455">
        <f>G212-(H212+I212)</f>
        <v>0</v>
      </c>
      <c r="K212" s="338"/>
    </row>
    <row r="213" spans="1:12" ht="32.1" customHeight="1" x14ac:dyDescent="0.25">
      <c r="A213" s="1021">
        <v>2016</v>
      </c>
      <c r="B213" s="1022"/>
      <c r="C213" s="1023"/>
      <c r="D213" s="456">
        <f>D212</f>
        <v>0</v>
      </c>
      <c r="E213" s="653"/>
      <c r="F213" s="520">
        <v>48000</v>
      </c>
      <c r="G213" s="524">
        <f>E213*F213</f>
        <v>0</v>
      </c>
      <c r="H213" s="521">
        <f>G213</f>
        <v>0</v>
      </c>
      <c r="I213" s="522"/>
      <c r="J213" s="455">
        <f>G213-(H213+I213)</f>
        <v>0</v>
      </c>
      <c r="K213" s="338"/>
    </row>
    <row r="214" spans="1:12" ht="32.1" customHeight="1" x14ac:dyDescent="0.25">
      <c r="A214" s="1021">
        <v>2015</v>
      </c>
      <c r="B214" s="1022"/>
      <c r="C214" s="1023"/>
      <c r="D214" s="457">
        <f>D213</f>
        <v>0</v>
      </c>
      <c r="E214" s="519">
        <v>23</v>
      </c>
      <c r="F214" s="520">
        <v>47000</v>
      </c>
      <c r="G214" s="524">
        <f>E214*F214</f>
        <v>1081000</v>
      </c>
      <c r="H214" s="521">
        <f>G214</f>
        <v>1081000</v>
      </c>
      <c r="I214" s="522"/>
      <c r="J214" s="455">
        <f>G214-(H214+I214)</f>
        <v>0</v>
      </c>
      <c r="K214" s="338"/>
    </row>
    <row r="215" spans="1:12" ht="22.5" hidden="1" customHeight="1" x14ac:dyDescent="0.25">
      <c r="A215" s="1219" t="s">
        <v>35</v>
      </c>
      <c r="B215" s="1220"/>
      <c r="C215" s="1220"/>
      <c r="D215" s="1220"/>
      <c r="E215" s="458"/>
      <c r="F215" s="458"/>
      <c r="G215" s="390"/>
      <c r="H215" s="459"/>
      <c r="I215" s="337"/>
      <c r="J215" s="337"/>
      <c r="K215" s="338"/>
    </row>
    <row r="216" spans="1:12" ht="24" hidden="1" customHeight="1" x14ac:dyDescent="0.25">
      <c r="A216" s="1137" t="s">
        <v>58</v>
      </c>
      <c r="B216" s="1138"/>
      <c r="C216" s="1138"/>
      <c r="D216" s="1138"/>
      <c r="E216" s="460"/>
      <c r="F216" s="460"/>
      <c r="G216" s="460"/>
      <c r="H216" s="337"/>
      <c r="I216" s="337"/>
      <c r="J216" s="337"/>
      <c r="K216" s="338"/>
    </row>
    <row r="217" spans="1:12" ht="24" customHeight="1" x14ac:dyDescent="0.25">
      <c r="A217" s="461"/>
      <c r="B217" s="460"/>
      <c r="C217" s="460"/>
      <c r="D217" s="460"/>
      <c r="E217" s="460"/>
      <c r="F217" s="460"/>
      <c r="G217" s="460"/>
      <c r="H217" s="337"/>
      <c r="I217" s="459"/>
      <c r="J217" s="337"/>
      <c r="K217" s="338"/>
    </row>
    <row r="218" spans="1:12" ht="25.5" customHeight="1" x14ac:dyDescent="0.25">
      <c r="A218" s="979" t="s">
        <v>218</v>
      </c>
      <c r="B218" s="980"/>
      <c r="C218" s="980"/>
      <c r="D218" s="980"/>
      <c r="E218" s="980"/>
      <c r="F218" s="980"/>
      <c r="G218" s="980"/>
      <c r="H218" s="980"/>
      <c r="I218" s="980"/>
      <c r="J218" s="980"/>
      <c r="K218" s="462"/>
    </row>
    <row r="219" spans="1:12" ht="50.1" customHeight="1" x14ac:dyDescent="0.25">
      <c r="A219" s="444"/>
      <c r="B219" s="337"/>
      <c r="C219" s="337"/>
      <c r="D219" s="337"/>
      <c r="E219" s="337"/>
      <c r="F219" s="337"/>
      <c r="G219" s="451"/>
      <c r="H219" s="1015" t="s">
        <v>97</v>
      </c>
      <c r="I219" s="1015"/>
      <c r="J219" s="1034" t="s">
        <v>95</v>
      </c>
      <c r="K219" s="338"/>
    </row>
    <row r="220" spans="1:12" ht="50.1" customHeight="1" x14ac:dyDescent="0.25">
      <c r="A220" s="1016" t="s">
        <v>34</v>
      </c>
      <c r="B220" s="1017"/>
      <c r="C220" s="1017"/>
      <c r="D220" s="48" t="s">
        <v>59</v>
      </c>
      <c r="E220" s="49" t="s">
        <v>143</v>
      </c>
      <c r="F220" s="326" t="s">
        <v>39</v>
      </c>
      <c r="G220" s="49" t="s">
        <v>70</v>
      </c>
      <c r="H220" s="327" t="s">
        <v>91</v>
      </c>
      <c r="I220" s="327" t="s">
        <v>96</v>
      </c>
      <c r="J220" s="1035"/>
      <c r="K220" s="338"/>
    </row>
    <row r="221" spans="1:12" ht="24.95" customHeight="1" x14ac:dyDescent="0.25">
      <c r="A221" s="1011">
        <v>2018</v>
      </c>
      <c r="B221" s="1012"/>
      <c r="C221" s="1013"/>
      <c r="D221" s="463">
        <f>D214</f>
        <v>0</v>
      </c>
      <c r="E221" s="464">
        <f>'Costo de Producción propuesto'!F101</f>
        <v>0</v>
      </c>
      <c r="F221" s="657">
        <f>'Costo de Producción propuesto'!E17</f>
        <v>0</v>
      </c>
      <c r="G221" s="525">
        <f>E221*F221</f>
        <v>0</v>
      </c>
      <c r="H221" s="526">
        <f>G221</f>
        <v>0</v>
      </c>
      <c r="I221" s="527"/>
      <c r="J221" s="455">
        <f>G221-(H221+I221)</f>
        <v>0</v>
      </c>
      <c r="K221" s="338"/>
    </row>
    <row r="222" spans="1:12" ht="24.95" customHeight="1" x14ac:dyDescent="0.25">
      <c r="A222" s="1011">
        <v>2019</v>
      </c>
      <c r="B222" s="1012"/>
      <c r="C222" s="1013"/>
      <c r="D222" s="463">
        <f>D221</f>
        <v>0</v>
      </c>
      <c r="E222" s="465">
        <f>E221</f>
        <v>0</v>
      </c>
      <c r="F222" s="658">
        <f>F221*1.1</f>
        <v>0</v>
      </c>
      <c r="G222" s="525">
        <f>E222*F222</f>
        <v>0</v>
      </c>
      <c r="H222" s="526">
        <f>G222</f>
        <v>0</v>
      </c>
      <c r="I222" s="527"/>
      <c r="J222" s="455">
        <f>G222-(H222+I222)</f>
        <v>0</v>
      </c>
      <c r="K222" s="338"/>
    </row>
    <row r="223" spans="1:12" ht="24.95" customHeight="1" x14ac:dyDescent="0.25">
      <c r="A223" s="1014">
        <v>2020</v>
      </c>
      <c r="B223" s="1014"/>
      <c r="C223" s="1014"/>
      <c r="D223" s="466">
        <f>D221</f>
        <v>0</v>
      </c>
      <c r="E223" s="467">
        <f>E222</f>
        <v>0</v>
      </c>
      <c r="F223" s="659">
        <f>F222*1.1</f>
        <v>0</v>
      </c>
      <c r="G223" s="525">
        <f>E223*F223</f>
        <v>0</v>
      </c>
      <c r="H223" s="654"/>
      <c r="I223" s="527"/>
      <c r="J223" s="455">
        <f>G223-(H223+I223)</f>
        <v>0</v>
      </c>
      <c r="K223" s="338"/>
    </row>
    <row r="224" spans="1:12" ht="15" customHeight="1" x14ac:dyDescent="0.25">
      <c r="A224" s="1148" t="s">
        <v>144</v>
      </c>
      <c r="B224" s="991"/>
      <c r="C224" s="991"/>
      <c r="D224" s="336"/>
      <c r="E224" s="336"/>
      <c r="F224" s="468"/>
      <c r="G224" s="468"/>
      <c r="H224" s="447"/>
      <c r="I224" s="447"/>
      <c r="J224" s="337"/>
      <c r="K224" s="338"/>
    </row>
    <row r="225" spans="1:13" ht="15" customHeight="1" x14ac:dyDescent="0.25">
      <c r="A225" s="372"/>
      <c r="B225" s="373"/>
      <c r="C225" s="373"/>
      <c r="D225" s="336"/>
      <c r="E225" s="336"/>
      <c r="F225" s="468"/>
      <c r="G225" s="468"/>
      <c r="H225" s="447"/>
      <c r="I225" s="447"/>
      <c r="J225" s="337"/>
      <c r="K225" s="338"/>
    </row>
    <row r="226" spans="1:13" ht="15" customHeight="1" x14ac:dyDescent="0.25">
      <c r="A226" s="372"/>
      <c r="B226" s="373"/>
      <c r="C226" s="373"/>
      <c r="D226" s="336"/>
      <c r="E226" s="336"/>
      <c r="F226" s="468"/>
      <c r="G226" s="468"/>
      <c r="H226" s="447"/>
      <c r="I226" s="447"/>
      <c r="J226" s="337"/>
      <c r="K226" s="338"/>
    </row>
    <row r="227" spans="1:13" ht="30" customHeight="1" x14ac:dyDescent="0.25">
      <c r="A227" s="979" t="s">
        <v>199</v>
      </c>
      <c r="B227" s="980"/>
      <c r="C227" s="980"/>
      <c r="D227" s="980"/>
      <c r="E227" s="980"/>
      <c r="F227" s="980"/>
      <c r="G227" s="980"/>
      <c r="H227" s="980"/>
      <c r="I227" s="980"/>
      <c r="J227" s="980"/>
      <c r="K227" s="1044"/>
    </row>
    <row r="228" spans="1:13" ht="25.5" customHeight="1" x14ac:dyDescent="0.25">
      <c r="A228" s="1038" t="s">
        <v>200</v>
      </c>
      <c r="B228" s="1039"/>
      <c r="C228" s="1039"/>
      <c r="D228" s="1039"/>
      <c r="E228" s="1039"/>
      <c r="F228" s="1039"/>
      <c r="G228" s="1039"/>
      <c r="H228" s="1039"/>
      <c r="I228" s="1039"/>
      <c r="J228" s="1039"/>
      <c r="K228" s="469"/>
      <c r="L228" s="3"/>
      <c r="M228" s="3"/>
    </row>
    <row r="229" spans="1:13" ht="25.5" customHeight="1" x14ac:dyDescent="0.25">
      <c r="A229" s="441"/>
      <c r="B229" s="442"/>
      <c r="C229" s="442"/>
      <c r="D229" s="442"/>
      <c r="E229" s="442"/>
      <c r="F229" s="442"/>
      <c r="G229" s="442"/>
      <c r="H229" s="470"/>
      <c r="I229" s="470"/>
      <c r="J229" s="470"/>
      <c r="K229" s="469"/>
      <c r="L229" s="3"/>
      <c r="M229" s="3"/>
    </row>
    <row r="230" spans="1:13" ht="37.5" customHeight="1" x14ac:dyDescent="0.25">
      <c r="A230" s="1016" t="s">
        <v>34</v>
      </c>
      <c r="B230" s="1017"/>
      <c r="C230" s="1017"/>
      <c r="D230" s="326" t="s">
        <v>59</v>
      </c>
      <c r="E230" s="48" t="s">
        <v>39</v>
      </c>
      <c r="F230" s="327" t="s">
        <v>61</v>
      </c>
      <c r="G230" s="471"/>
      <c r="H230" s="337"/>
      <c r="I230" s="337"/>
      <c r="J230" s="337"/>
      <c r="K230" s="338"/>
    </row>
    <row r="231" spans="1:13" ht="30" customHeight="1" x14ac:dyDescent="0.25">
      <c r="A231" s="1021">
        <f>A221</f>
        <v>2018</v>
      </c>
      <c r="B231" s="1022"/>
      <c r="C231" s="1023"/>
      <c r="D231" s="456">
        <f>D223</f>
        <v>0</v>
      </c>
      <c r="E231" s="655"/>
      <c r="F231" s="524">
        <f>E231-F221</f>
        <v>0</v>
      </c>
      <c r="G231" s="473"/>
      <c r="H231" s="337"/>
      <c r="I231" s="337"/>
      <c r="J231" s="337"/>
      <c r="K231" s="338"/>
    </row>
    <row r="232" spans="1:13" ht="30" customHeight="1" x14ac:dyDescent="0.25">
      <c r="A232" s="1021">
        <f>A222</f>
        <v>2019</v>
      </c>
      <c r="B232" s="1022"/>
      <c r="C232" s="1023"/>
      <c r="D232" s="456">
        <f>D231</f>
        <v>0</v>
      </c>
      <c r="E232" s="656">
        <v>65000</v>
      </c>
      <c r="F232" s="524">
        <f>E232-F222</f>
        <v>65000</v>
      </c>
      <c r="G232" s="447"/>
      <c r="H232" s="337"/>
      <c r="I232" s="337"/>
      <c r="J232" s="337"/>
      <c r="K232" s="338"/>
    </row>
    <row r="233" spans="1:13" ht="30" customHeight="1" x14ac:dyDescent="0.25">
      <c r="A233" s="1036">
        <f>A223</f>
        <v>2020</v>
      </c>
      <c r="B233" s="1037"/>
      <c r="C233" s="1037"/>
      <c r="D233" s="456">
        <f>D232</f>
        <v>0</v>
      </c>
      <c r="E233" s="656">
        <v>70000</v>
      </c>
      <c r="F233" s="524">
        <f>E233-F223</f>
        <v>70000</v>
      </c>
      <c r="G233" s="447"/>
      <c r="H233" s="337"/>
      <c r="I233" s="459"/>
      <c r="J233" s="337"/>
      <c r="K233" s="338"/>
    </row>
    <row r="234" spans="1:13" ht="33" customHeight="1" x14ac:dyDescent="0.25">
      <c r="A234" s="1040" t="s">
        <v>36</v>
      </c>
      <c r="B234" s="1041"/>
      <c r="C234" s="1041"/>
      <c r="D234" s="474"/>
      <c r="E234" s="447"/>
      <c r="F234" s="447"/>
      <c r="G234" s="381"/>
      <c r="H234" s="337"/>
      <c r="I234" s="337"/>
      <c r="J234" s="337"/>
      <c r="K234" s="338"/>
    </row>
    <row r="235" spans="1:13" ht="15" customHeight="1" x14ac:dyDescent="0.25">
      <c r="A235" s="475"/>
      <c r="B235" s="390"/>
      <c r="C235" s="390"/>
      <c r="D235" s="390"/>
      <c r="E235" s="390"/>
      <c r="F235" s="337"/>
      <c r="G235" s="337"/>
      <c r="H235" s="336"/>
      <c r="I235" s="336"/>
      <c r="J235" s="336"/>
      <c r="K235" s="462"/>
    </row>
    <row r="236" spans="1:13" ht="25.5" customHeight="1" x14ac:dyDescent="0.25">
      <c r="A236" s="882" t="s">
        <v>210</v>
      </c>
      <c r="B236" s="883"/>
      <c r="C236" s="883"/>
      <c r="D236" s="883"/>
      <c r="E236" s="883"/>
      <c r="F236" s="883"/>
      <c r="G236" s="883"/>
      <c r="H236" s="883"/>
      <c r="I236" s="883"/>
      <c r="J236" s="883"/>
      <c r="K236" s="440"/>
    </row>
    <row r="237" spans="1:13" ht="25.5" customHeight="1" x14ac:dyDescent="0.25">
      <c r="A237" s="475"/>
      <c r="B237" s="390"/>
      <c r="C237" s="390"/>
      <c r="D237" s="390"/>
      <c r="E237" s="390"/>
      <c r="F237" s="390"/>
      <c r="G237" s="390"/>
      <c r="H237" s="336"/>
      <c r="I237" s="336"/>
      <c r="J237" s="336"/>
      <c r="K237" s="462"/>
    </row>
    <row r="238" spans="1:13" ht="19.5" customHeight="1" x14ac:dyDescent="0.25">
      <c r="A238" s="1042" t="s">
        <v>73</v>
      </c>
      <c r="B238" s="1043"/>
      <c r="C238" s="476">
        <f>D233</f>
        <v>0</v>
      </c>
      <c r="D238" s="351"/>
      <c r="E238" s="351"/>
      <c r="F238" s="351"/>
      <c r="G238" s="351"/>
      <c r="H238" s="351"/>
      <c r="I238" s="351"/>
      <c r="J238" s="351"/>
      <c r="K238" s="477"/>
    </row>
    <row r="239" spans="1:13" ht="44.25" customHeight="1" x14ac:dyDescent="0.25">
      <c r="A239" s="1031" t="s">
        <v>38</v>
      </c>
      <c r="B239" s="1032"/>
      <c r="C239" s="1033"/>
      <c r="D239" s="478" t="str">
        <f>D230</f>
        <v>Unidad de Medida</v>
      </c>
      <c r="E239" s="478" t="s">
        <v>62</v>
      </c>
      <c r="F239" s="478" t="s">
        <v>39</v>
      </c>
      <c r="G239" s="327" t="s">
        <v>55</v>
      </c>
      <c r="H239" s="390"/>
      <c r="I239" s="390"/>
      <c r="J239" s="390"/>
      <c r="K239" s="391"/>
    </row>
    <row r="240" spans="1:13" ht="44.25" customHeight="1" x14ac:dyDescent="0.25">
      <c r="A240" s="1149" t="s">
        <v>145</v>
      </c>
      <c r="B240" s="1150"/>
      <c r="C240" s="1151"/>
      <c r="D240" s="466"/>
      <c r="E240" s="466"/>
      <c r="F240" s="466"/>
      <c r="G240" s="479" t="e">
        <f>G241+G242+G243</f>
        <v>#DIV/0!</v>
      </c>
      <c r="H240" s="390"/>
      <c r="I240" s="390"/>
      <c r="J240" s="390"/>
      <c r="K240" s="391"/>
    </row>
    <row r="241" spans="1:12" ht="35.1" customHeight="1" x14ac:dyDescent="0.25">
      <c r="A241" s="908" t="s">
        <v>169</v>
      </c>
      <c r="B241" s="908"/>
      <c r="C241" s="908"/>
      <c r="D241" s="472" t="s">
        <v>71</v>
      </c>
      <c r="E241" s="480">
        <f>'Costo de Producción propuesto'!F56/'Costo de Producción propuesto'!D56</f>
        <v>64</v>
      </c>
      <c r="F241" s="481" t="e">
        <f>'Costo de Producción propuesto'!E31</f>
        <v>#DIV/0!</v>
      </c>
      <c r="G241" s="482" t="e">
        <f>E241*F241</f>
        <v>#DIV/0!</v>
      </c>
      <c r="H241" s="390"/>
      <c r="I241" s="390"/>
      <c r="J241" s="390"/>
      <c r="K241" s="391"/>
    </row>
    <row r="242" spans="1:12" ht="35.1" customHeight="1" x14ac:dyDescent="0.25">
      <c r="A242" s="908" t="s">
        <v>168</v>
      </c>
      <c r="B242" s="908"/>
      <c r="C242" s="908"/>
      <c r="D242" s="472" t="s">
        <v>72</v>
      </c>
      <c r="E242" s="480" t="e">
        <f>'Costo de Producción propuesto'!F23</f>
        <v>#DIV/0!</v>
      </c>
      <c r="F242" s="480">
        <v>1</v>
      </c>
      <c r="G242" s="483" t="e">
        <f>E242*F242</f>
        <v>#DIV/0!</v>
      </c>
      <c r="H242" s="390"/>
      <c r="I242" s="390"/>
      <c r="J242" s="390"/>
      <c r="K242" s="391"/>
    </row>
    <row r="243" spans="1:12" ht="35.1" customHeight="1" x14ac:dyDescent="0.25">
      <c r="A243" s="908" t="s">
        <v>146</v>
      </c>
      <c r="B243" s="908"/>
      <c r="C243" s="908"/>
      <c r="D243" s="472" t="s">
        <v>72</v>
      </c>
      <c r="E243" s="480" t="e">
        <f>'Costo de Producción propuesto'!F24</f>
        <v>#DIV/0!</v>
      </c>
      <c r="F243" s="472">
        <v>1</v>
      </c>
      <c r="G243" s="483" t="e">
        <f>E243*F243</f>
        <v>#DIV/0!</v>
      </c>
      <c r="H243" s="484"/>
      <c r="I243" s="484"/>
      <c r="J243" s="390"/>
      <c r="K243" s="338"/>
    </row>
    <row r="244" spans="1:12" ht="35.1" customHeight="1" x14ac:dyDescent="0.25">
      <c r="A244" s="1149" t="s">
        <v>147</v>
      </c>
      <c r="B244" s="1150"/>
      <c r="C244" s="1151"/>
      <c r="D244" s="472"/>
      <c r="E244" s="480"/>
      <c r="F244" s="472"/>
      <c r="G244" s="485" t="e">
        <f>G245+G246+G247</f>
        <v>#DIV/0!</v>
      </c>
      <c r="H244" s="484"/>
      <c r="I244" s="484"/>
      <c r="J244" s="390"/>
      <c r="K244" s="338"/>
    </row>
    <row r="245" spans="1:12" ht="35.1" customHeight="1" x14ac:dyDescent="0.25">
      <c r="A245" s="1020" t="s">
        <v>165</v>
      </c>
      <c r="B245" s="904"/>
      <c r="C245" s="906"/>
      <c r="D245" s="472" t="s">
        <v>72</v>
      </c>
      <c r="E245" s="480" t="e">
        <f>'Costo de Producción propuesto'!F89/'Costo de Producción propuesto'!E15</f>
        <v>#DIV/0!</v>
      </c>
      <c r="F245" s="472">
        <v>1</v>
      </c>
      <c r="G245" s="483" t="e">
        <f>F245*E245</f>
        <v>#DIV/0!</v>
      </c>
      <c r="H245" s="484"/>
      <c r="I245" s="484"/>
      <c r="J245" s="390"/>
      <c r="K245" s="338"/>
      <c r="L245"/>
    </row>
    <row r="246" spans="1:12" ht="35.1" customHeight="1" x14ac:dyDescent="0.25">
      <c r="A246" s="1020" t="s">
        <v>170</v>
      </c>
      <c r="B246" s="904"/>
      <c r="C246" s="906"/>
      <c r="D246" s="472" t="s">
        <v>72</v>
      </c>
      <c r="E246" s="480" t="e">
        <f>'Costo de Producción propuesto'!F90/'Costo de Producción propuesto'!E15</f>
        <v>#DIV/0!</v>
      </c>
      <c r="F246" s="472">
        <v>1</v>
      </c>
      <c r="G246" s="483" t="e">
        <f>E246*F246</f>
        <v>#DIV/0!</v>
      </c>
      <c r="H246" s="484"/>
      <c r="I246" s="484"/>
      <c r="J246" s="390"/>
      <c r="K246" s="338"/>
      <c r="L246"/>
    </row>
    <row r="247" spans="1:12" ht="35.1" customHeight="1" x14ac:dyDescent="0.25">
      <c r="A247" s="1020" t="s">
        <v>148</v>
      </c>
      <c r="B247" s="904"/>
      <c r="C247" s="906"/>
      <c r="D247" s="472" t="s">
        <v>72</v>
      </c>
      <c r="E247" s="480" t="e">
        <f>'Costo de Producción propuesto'!F91/'Costo de Producción propuesto'!E15</f>
        <v>#DIV/0!</v>
      </c>
      <c r="F247" s="472">
        <v>1</v>
      </c>
      <c r="G247" s="483" t="e">
        <f>E247*F247</f>
        <v>#DIV/0!</v>
      </c>
      <c r="H247" s="484"/>
      <c r="I247" s="484"/>
      <c r="J247" s="390"/>
      <c r="K247" s="338"/>
      <c r="L247"/>
    </row>
    <row r="248" spans="1:12" ht="35.1" customHeight="1" x14ac:dyDescent="0.25">
      <c r="A248" s="1028" t="s">
        <v>74</v>
      </c>
      <c r="B248" s="1029"/>
      <c r="C248" s="1029"/>
      <c r="D248" s="1029"/>
      <c r="E248" s="1029"/>
      <c r="F248" s="1030"/>
      <c r="G248" s="486" t="e">
        <f>G240+G244</f>
        <v>#DIV/0!</v>
      </c>
      <c r="H248" s="484"/>
      <c r="I248" s="484"/>
      <c r="J248" s="410"/>
      <c r="K248" s="338"/>
      <c r="L248"/>
    </row>
    <row r="249" spans="1:12" ht="21" customHeight="1" x14ac:dyDescent="0.25">
      <c r="A249" s="444"/>
      <c r="B249" s="473"/>
      <c r="C249" s="473"/>
      <c r="D249" s="337"/>
      <c r="E249" s="337"/>
      <c r="F249" s="337"/>
      <c r="G249" s="473"/>
      <c r="H249" s="484"/>
      <c r="I249" s="484"/>
      <c r="J249" s="410"/>
      <c r="K249" s="338"/>
      <c r="L249"/>
    </row>
    <row r="250" spans="1:12" ht="21" customHeight="1" x14ac:dyDescent="0.25">
      <c r="A250" s="882" t="s">
        <v>211</v>
      </c>
      <c r="B250" s="883"/>
      <c r="C250" s="883"/>
      <c r="D250" s="883"/>
      <c r="E250" s="883"/>
      <c r="F250" s="883"/>
      <c r="G250" s="883"/>
      <c r="H250" s="883"/>
      <c r="I250" s="883"/>
      <c r="J250" s="883"/>
      <c r="K250" s="338"/>
      <c r="L250"/>
    </row>
    <row r="251" spans="1:12" ht="21" customHeight="1" x14ac:dyDescent="0.25">
      <c r="A251" s="444"/>
      <c r="B251" s="473"/>
      <c r="C251" s="473"/>
      <c r="D251" s="337"/>
      <c r="E251" s="337"/>
      <c r="F251" s="337"/>
      <c r="G251" s="473"/>
      <c r="H251" s="484"/>
      <c r="I251" s="484"/>
      <c r="J251" s="410"/>
      <c r="K251" s="338"/>
      <c r="L251"/>
    </row>
    <row r="252" spans="1:12" ht="44.1" customHeight="1" x14ac:dyDescent="0.25">
      <c r="A252" s="1217" t="s">
        <v>78</v>
      </c>
      <c r="B252" s="1218"/>
      <c r="C252" s="50" t="s">
        <v>87</v>
      </c>
      <c r="D252" s="50" t="s">
        <v>79</v>
      </c>
      <c r="E252" s="50" t="s">
        <v>80</v>
      </c>
      <c r="F252" s="50" t="s">
        <v>81</v>
      </c>
      <c r="G252" s="51" t="s">
        <v>82</v>
      </c>
      <c r="H252" s="51" t="s">
        <v>83</v>
      </c>
      <c r="I252" s="484"/>
      <c r="J252" s="410"/>
      <c r="K252" s="338"/>
      <c r="L252"/>
    </row>
    <row r="253" spans="1:12" ht="24.95" customHeight="1" x14ac:dyDescent="0.25">
      <c r="A253" s="1024" t="s">
        <v>75</v>
      </c>
      <c r="B253" s="1025"/>
      <c r="C253" s="487"/>
      <c r="D253" s="488">
        <f>D254</f>
        <v>0</v>
      </c>
      <c r="E253" s="488">
        <f>E254</f>
        <v>0</v>
      </c>
      <c r="F253" s="488">
        <f>F254</f>
        <v>0</v>
      </c>
      <c r="G253" s="488" t="e">
        <f>G254</f>
        <v>#DIV/0!</v>
      </c>
      <c r="H253" s="488" t="e">
        <f>H254</f>
        <v>#DIV/0!</v>
      </c>
      <c r="I253" s="484"/>
      <c r="J253" s="410"/>
      <c r="K253" s="338"/>
      <c r="L253"/>
    </row>
    <row r="254" spans="1:12" ht="24.95" customHeight="1" x14ac:dyDescent="0.25">
      <c r="A254" s="1007" t="str">
        <f>D20</f>
        <v>Queso maduro</v>
      </c>
      <c r="B254" s="1008"/>
      <c r="C254" s="489"/>
      <c r="D254" s="490">
        <f>G221</f>
        <v>0</v>
      </c>
      <c r="E254" s="490">
        <f>G222</f>
        <v>0</v>
      </c>
      <c r="F254" s="490">
        <f>G223</f>
        <v>0</v>
      </c>
      <c r="G254" s="491" t="e">
        <f>F254+((F254-E254)/E254)*F254</f>
        <v>#DIV/0!</v>
      </c>
      <c r="H254" s="491" t="e">
        <f>G254+((G254-F254)/F254)*G254</f>
        <v>#DIV/0!</v>
      </c>
      <c r="I254" s="484"/>
      <c r="J254" s="410"/>
      <c r="K254" s="338"/>
      <c r="L254"/>
    </row>
    <row r="255" spans="1:12" ht="24.95" customHeight="1" x14ac:dyDescent="0.25">
      <c r="A255" s="543"/>
      <c r="B255" s="544"/>
      <c r="C255" s="489"/>
      <c r="D255" s="490"/>
      <c r="E255" s="490"/>
      <c r="F255" s="490"/>
      <c r="G255" s="491"/>
      <c r="H255" s="491"/>
      <c r="I255" s="484"/>
      <c r="J255" s="410"/>
      <c r="K255" s="338"/>
      <c r="L255"/>
    </row>
    <row r="256" spans="1:12" ht="24.95" customHeight="1" x14ac:dyDescent="0.25">
      <c r="A256" s="1024" t="s">
        <v>76</v>
      </c>
      <c r="B256" s="1025"/>
      <c r="C256" s="492">
        <f>C257+C260</f>
        <v>1042236.27</v>
      </c>
      <c r="D256" s="488" t="e">
        <f>SUM(D257:D260)</f>
        <v>#DIV/0!</v>
      </c>
      <c r="E256" s="488" t="e">
        <f>SUM(E257:E260)</f>
        <v>#DIV/0!</v>
      </c>
      <c r="F256" s="488" t="e">
        <f>SUM(F257:F260)</f>
        <v>#DIV/0!</v>
      </c>
      <c r="G256" s="488" t="e">
        <f>SUM(G257:G260)</f>
        <v>#DIV/0!</v>
      </c>
      <c r="H256" s="488" t="e">
        <f>SUM(H257:H260)</f>
        <v>#DIV/0!</v>
      </c>
      <c r="I256" s="484"/>
      <c r="J256" s="410"/>
      <c r="K256" s="338"/>
      <c r="L256"/>
    </row>
    <row r="257" spans="1:12" ht="24.95" customHeight="1" x14ac:dyDescent="0.25">
      <c r="A257" s="1007" t="s">
        <v>495</v>
      </c>
      <c r="B257" s="1008"/>
      <c r="C257" s="493"/>
      <c r="D257" s="490" t="e">
        <f>G240*F221</f>
        <v>#DIV/0!</v>
      </c>
      <c r="E257" s="490" t="e">
        <f>G240*F222</f>
        <v>#DIV/0!</v>
      </c>
      <c r="F257" s="490" t="e">
        <f>G240*F223</f>
        <v>#DIV/0!</v>
      </c>
      <c r="G257" s="491" t="e">
        <f>(F257+((F257-E257)/E257)*F257)</f>
        <v>#DIV/0!</v>
      </c>
      <c r="H257" s="491" t="e">
        <f>G257+((G257-F257)/F257)*G257</f>
        <v>#DIV/0!</v>
      </c>
      <c r="I257" s="484"/>
      <c r="J257" s="494"/>
      <c r="K257" s="616"/>
      <c r="L257"/>
    </row>
    <row r="258" spans="1:12" ht="24.95" customHeight="1" x14ac:dyDescent="0.25">
      <c r="A258" s="1007" t="s">
        <v>496</v>
      </c>
      <c r="B258" s="1008"/>
      <c r="C258" s="493"/>
      <c r="D258" s="490" t="e">
        <f>Inversiones!E34+G244*$F$221</f>
        <v>#DIV/0!</v>
      </c>
      <c r="E258" s="490" t="e">
        <f>G244*F222+Inversiones!E34</f>
        <v>#DIV/0!</v>
      </c>
      <c r="F258" s="490" t="e">
        <f>G244*F223+Inversiones!E34</f>
        <v>#DIV/0!</v>
      </c>
      <c r="G258" s="491" t="e">
        <f>(F258+((F258-E258)/E258)*F258)</f>
        <v>#DIV/0!</v>
      </c>
      <c r="H258" s="491" t="e">
        <f>G258+((G258-F258)/F258)*G258</f>
        <v>#DIV/0!</v>
      </c>
      <c r="I258" s="484"/>
      <c r="J258" s="494"/>
      <c r="K258" s="616"/>
      <c r="L258"/>
    </row>
    <row r="259" spans="1:12" ht="24.95" customHeight="1" x14ac:dyDescent="0.25">
      <c r="A259" s="1007" t="s">
        <v>507</v>
      </c>
      <c r="B259" s="1008"/>
      <c r="C259" s="493"/>
      <c r="D259" s="490">
        <f>(Inversiones!E10+Inversiones!E11+Inversiones!E12)/5</f>
        <v>98225</v>
      </c>
      <c r="E259" s="490">
        <f>D259</f>
        <v>98225</v>
      </c>
      <c r="F259" s="490">
        <f>E259</f>
        <v>98225</v>
      </c>
      <c r="G259" s="491">
        <f>F259</f>
        <v>98225</v>
      </c>
      <c r="H259" s="491">
        <f>G259</f>
        <v>98225</v>
      </c>
      <c r="I259" s="484"/>
      <c r="J259" s="494"/>
      <c r="K259" s="616"/>
      <c r="L259"/>
    </row>
    <row r="260" spans="1:12" ht="24.95" customHeight="1" x14ac:dyDescent="0.25">
      <c r="A260" s="1007" t="s">
        <v>470</v>
      </c>
      <c r="B260" s="1008"/>
      <c r="C260" s="493">
        <f>G141+Inversiones!E19+Inversiones!E40+(Inversiones!E34/12)</f>
        <v>1042236.27</v>
      </c>
      <c r="D260" s="490">
        <f>Inversiones!D23</f>
        <v>0</v>
      </c>
      <c r="E260" s="490">
        <f>Inversiones!E23</f>
        <v>0</v>
      </c>
      <c r="F260" s="490">
        <f>Inversiones!F23</f>
        <v>0</v>
      </c>
      <c r="G260" s="491"/>
      <c r="H260" s="491"/>
      <c r="I260" s="484"/>
      <c r="J260" s="410"/>
      <c r="K260" s="338"/>
      <c r="L260"/>
    </row>
    <row r="261" spans="1:12" ht="24.95" customHeight="1" x14ac:dyDescent="0.25">
      <c r="A261" s="1024" t="s">
        <v>497</v>
      </c>
      <c r="B261" s="1025"/>
      <c r="C261" s="493"/>
      <c r="D261" s="488" t="e">
        <f>D253-D257</f>
        <v>#DIV/0!</v>
      </c>
      <c r="E261" s="488" t="e">
        <f>E253-E257</f>
        <v>#DIV/0!</v>
      </c>
      <c r="F261" s="488" t="e">
        <f>F253-F257</f>
        <v>#DIV/0!</v>
      </c>
      <c r="G261" s="488" t="e">
        <f>G253-G257</f>
        <v>#DIV/0!</v>
      </c>
      <c r="H261" s="488" t="e">
        <f>H253-H257</f>
        <v>#DIV/0!</v>
      </c>
      <c r="I261" s="484"/>
      <c r="J261" s="410"/>
      <c r="K261" s="338"/>
      <c r="L261"/>
    </row>
    <row r="262" spans="1:12" ht="24.95" customHeight="1" x14ac:dyDescent="0.25">
      <c r="A262" s="1007" t="s">
        <v>149</v>
      </c>
      <c r="B262" s="1008"/>
      <c r="C262" s="493"/>
      <c r="D262" s="490" t="e">
        <f>D261-D258</f>
        <v>#DIV/0!</v>
      </c>
      <c r="E262" s="490" t="e">
        <f>E261-E258</f>
        <v>#DIV/0!</v>
      </c>
      <c r="F262" s="490" t="e">
        <f>F261-F258</f>
        <v>#DIV/0!</v>
      </c>
      <c r="G262" s="490" t="e">
        <f>G261-G258</f>
        <v>#DIV/0!</v>
      </c>
      <c r="H262" s="490" t="e">
        <f>H261-H258</f>
        <v>#DIV/0!</v>
      </c>
      <c r="I262" s="484"/>
      <c r="J262" s="410"/>
      <c r="K262" s="495"/>
      <c r="L262"/>
    </row>
    <row r="263" spans="1:12" ht="24.95" customHeight="1" x14ac:dyDescent="0.25">
      <c r="A263" s="1007" t="s">
        <v>498</v>
      </c>
      <c r="B263" s="1008"/>
      <c r="C263" s="617">
        <v>0.29499999999999998</v>
      </c>
      <c r="D263" s="490" t="e">
        <f>D262*$C$263</f>
        <v>#DIV/0!</v>
      </c>
      <c r="E263" s="490" t="e">
        <f>E262*$C$263</f>
        <v>#DIV/0!</v>
      </c>
      <c r="F263" s="490" t="e">
        <f>F262*$C$263</f>
        <v>#DIV/0!</v>
      </c>
      <c r="G263" s="490" t="e">
        <f>G262*$C$263</f>
        <v>#DIV/0!</v>
      </c>
      <c r="H263" s="490" t="e">
        <f>H262*$C$263</f>
        <v>#DIV/0!</v>
      </c>
      <c r="I263" s="484"/>
      <c r="J263" s="410"/>
      <c r="K263" s="338"/>
      <c r="L263"/>
    </row>
    <row r="264" spans="1:12" ht="24.95" customHeight="1" x14ac:dyDescent="0.25">
      <c r="A264" s="1007" t="s">
        <v>150</v>
      </c>
      <c r="B264" s="1008"/>
      <c r="C264" s="493"/>
      <c r="D264" s="490" t="e">
        <f>D262-D263</f>
        <v>#DIV/0!</v>
      </c>
      <c r="E264" s="490" t="e">
        <f>E262-E263</f>
        <v>#DIV/0!</v>
      </c>
      <c r="F264" s="490" t="e">
        <f>F262-F263</f>
        <v>#DIV/0!</v>
      </c>
      <c r="G264" s="490" t="e">
        <f>G262-G263</f>
        <v>#DIV/0!</v>
      </c>
      <c r="H264" s="490" t="e">
        <f>H262-H263</f>
        <v>#DIV/0!</v>
      </c>
      <c r="I264" s="484"/>
      <c r="J264" s="410"/>
      <c r="K264" s="338"/>
      <c r="L264"/>
    </row>
    <row r="265" spans="1:12" ht="45.75" customHeight="1" x14ac:dyDescent="0.25">
      <c r="A265" s="1049" t="s">
        <v>77</v>
      </c>
      <c r="B265" s="1050"/>
      <c r="C265" s="492">
        <f>C253-C256</f>
        <v>-1042236.27</v>
      </c>
      <c r="D265" s="488" t="e">
        <f>D253-(D256+D263)</f>
        <v>#DIV/0!</v>
      </c>
      <c r="E265" s="488" t="e">
        <f>E253-(E256+E263)</f>
        <v>#DIV/0!</v>
      </c>
      <c r="F265" s="488" t="e">
        <f>F253-(F256+F263)</f>
        <v>#DIV/0!</v>
      </c>
      <c r="G265" s="488" t="e">
        <f>G253-(G256+G263)</f>
        <v>#DIV/0!</v>
      </c>
      <c r="H265" s="488" t="e">
        <f>H253-(H256+H263)</f>
        <v>#DIV/0!</v>
      </c>
      <c r="I265" s="390"/>
      <c r="J265" s="390"/>
      <c r="K265" s="391"/>
    </row>
    <row r="266" spans="1:12" ht="45.75" customHeight="1" x14ac:dyDescent="0.25">
      <c r="A266" s="1047" t="s">
        <v>225</v>
      </c>
      <c r="B266" s="1047"/>
      <c r="C266" s="492"/>
      <c r="D266" s="488" t="e">
        <f>C265+D265</f>
        <v>#DIV/0!</v>
      </c>
      <c r="E266" s="488" t="e">
        <f>D266+E265</f>
        <v>#DIV/0!</v>
      </c>
      <c r="F266" s="488" t="e">
        <f>E266+F265</f>
        <v>#DIV/0!</v>
      </c>
      <c r="G266" s="488" t="e">
        <f>F266+G265</f>
        <v>#DIV/0!</v>
      </c>
      <c r="H266" s="488" t="e">
        <f>G266+H265</f>
        <v>#DIV/0!</v>
      </c>
      <c r="I266" s="390"/>
      <c r="J266" s="390"/>
      <c r="K266" s="391"/>
    </row>
    <row r="267" spans="1:12" ht="15" customHeight="1" x14ac:dyDescent="0.25">
      <c r="A267" s="1048" t="s">
        <v>151</v>
      </c>
      <c r="B267" s="1026"/>
      <c r="C267" s="1026"/>
      <c r="D267" s="496"/>
      <c r="E267" s="496"/>
      <c r="F267" s="496"/>
      <c r="G267" s="496"/>
      <c r="H267" s="390"/>
      <c r="I267" s="390"/>
      <c r="J267" s="390"/>
      <c r="K267" s="391"/>
    </row>
    <row r="268" spans="1:12" ht="15" customHeight="1" x14ac:dyDescent="0.25">
      <c r="A268" s="377"/>
      <c r="B268" s="336"/>
      <c r="C268" s="336"/>
      <c r="D268" s="390"/>
      <c r="E268" s="390"/>
      <c r="F268" s="390"/>
      <c r="G268" s="390"/>
      <c r="H268" s="390"/>
      <c r="I268" s="390"/>
      <c r="J268" s="390"/>
      <c r="K268" s="391"/>
    </row>
    <row r="269" spans="1:12" ht="30" customHeight="1" x14ac:dyDescent="0.25">
      <c r="A269" s="882" t="s">
        <v>212</v>
      </c>
      <c r="B269" s="883"/>
      <c r="C269" s="883"/>
      <c r="D269" s="883"/>
      <c r="E269" s="883"/>
      <c r="F269" s="883"/>
      <c r="G269" s="883"/>
      <c r="H269" s="883"/>
      <c r="I269" s="883"/>
      <c r="J269" s="883"/>
      <c r="K269" s="391"/>
    </row>
    <row r="270" spans="1:12" ht="15" customHeight="1" x14ac:dyDescent="0.25">
      <c r="A270" s="389"/>
      <c r="B270" s="390"/>
      <c r="C270" s="390"/>
      <c r="D270" s="390"/>
      <c r="E270" s="390"/>
      <c r="F270" s="390"/>
      <c r="G270" s="390"/>
      <c r="H270" s="390"/>
      <c r="I270" s="390"/>
      <c r="J270" s="390"/>
      <c r="K270" s="391"/>
    </row>
    <row r="271" spans="1:12" ht="22.5" customHeight="1" x14ac:dyDescent="0.25">
      <c r="A271" s="1045" t="s">
        <v>84</v>
      </c>
      <c r="B271" s="1046"/>
      <c r="C271" s="660" t="e">
        <f>IRR(C265:H265)</f>
        <v>#VALUE!</v>
      </c>
      <c r="D271" s="390"/>
      <c r="E271" s="390"/>
      <c r="F271" s="390"/>
      <c r="G271" s="390"/>
      <c r="H271" s="390"/>
      <c r="I271" s="390"/>
      <c r="J271" s="390"/>
      <c r="K271" s="391"/>
    </row>
    <row r="272" spans="1:12" ht="25.5" customHeight="1" x14ac:dyDescent="0.25">
      <c r="A272" s="1045" t="s">
        <v>85</v>
      </c>
      <c r="B272" s="1046"/>
      <c r="C272" s="661" t="e">
        <f>NPV(0.3,D265:H265)+C265</f>
        <v>#DIV/0!</v>
      </c>
      <c r="D272" s="390"/>
      <c r="E272" s="390"/>
      <c r="F272" s="390"/>
      <c r="G272" s="390"/>
      <c r="H272" s="390"/>
      <c r="I272" s="390"/>
      <c r="J272" s="390"/>
      <c r="K272" s="391"/>
    </row>
    <row r="273" spans="1:12" ht="19.5" customHeight="1" x14ac:dyDescent="0.25">
      <c r="A273" s="1045" t="s">
        <v>86</v>
      </c>
      <c r="B273" s="1046"/>
      <c r="C273" s="662" t="e">
        <f>SUM(D253:H253)/SUM(C256:H256)</f>
        <v>#DIV/0!</v>
      </c>
      <c r="D273" s="390"/>
      <c r="E273" s="390"/>
      <c r="F273" s="390"/>
      <c r="G273" s="390"/>
      <c r="H273" s="390"/>
      <c r="I273" s="390"/>
      <c r="J273" s="390"/>
      <c r="K273" s="391"/>
    </row>
    <row r="274" spans="1:12" ht="15" customHeight="1" x14ac:dyDescent="0.25">
      <c r="A274" s="389"/>
      <c r="B274" s="390"/>
      <c r="C274" s="390"/>
      <c r="D274" s="390"/>
      <c r="E274" s="390"/>
      <c r="F274" s="390"/>
      <c r="G274" s="390"/>
      <c r="H274" s="390"/>
      <c r="I274" s="390"/>
      <c r="J274" s="390"/>
      <c r="K274" s="391"/>
    </row>
    <row r="275" spans="1:12" ht="15" customHeight="1" x14ac:dyDescent="0.25">
      <c r="A275" s="389"/>
      <c r="B275" s="390"/>
      <c r="C275" s="390"/>
      <c r="D275" s="390"/>
      <c r="E275" s="390"/>
      <c r="F275" s="390"/>
      <c r="G275" s="390"/>
      <c r="H275" s="390"/>
      <c r="I275" s="390"/>
      <c r="J275" s="390"/>
      <c r="K275" s="391"/>
    </row>
    <row r="276" spans="1:12" ht="15" customHeight="1" x14ac:dyDescent="0.25">
      <c r="A276" s="475"/>
      <c r="B276" s="390"/>
      <c r="C276" s="390"/>
      <c r="D276" s="390"/>
      <c r="E276" s="390"/>
      <c r="F276" s="390"/>
      <c r="G276" s="390"/>
      <c r="H276" s="336"/>
      <c r="I276" s="336"/>
      <c r="J276" s="336"/>
      <c r="K276" s="462"/>
    </row>
    <row r="277" spans="1:12" ht="22.5" customHeight="1" x14ac:dyDescent="0.25">
      <c r="A277" s="882" t="s">
        <v>213</v>
      </c>
      <c r="B277" s="883"/>
      <c r="C277" s="883"/>
      <c r="D277" s="883"/>
      <c r="E277" s="883"/>
      <c r="F277" s="883"/>
      <c r="G277" s="883"/>
      <c r="H277" s="883"/>
      <c r="I277" s="497"/>
      <c r="J277" s="497"/>
      <c r="K277" s="440"/>
      <c r="L277" s="25"/>
    </row>
    <row r="278" spans="1:12" ht="23.25" customHeight="1" x14ac:dyDescent="0.25">
      <c r="A278" s="498"/>
      <c r="B278" s="336"/>
      <c r="C278" s="336"/>
      <c r="D278" s="336"/>
      <c r="E278" s="336"/>
      <c r="F278" s="336"/>
      <c r="G278" s="336"/>
      <c r="H278" s="337"/>
      <c r="I278" s="337"/>
      <c r="J278" s="337"/>
      <c r="K278" s="338"/>
    </row>
    <row r="279" spans="1:12" ht="15" customHeight="1" x14ac:dyDescent="0.25">
      <c r="A279" s="450" t="s">
        <v>201</v>
      </c>
      <c r="B279" s="451"/>
      <c r="C279" s="451"/>
      <c r="D279" s="451"/>
      <c r="E279" s="474"/>
      <c r="F279" s="336"/>
      <c r="G279" s="336"/>
      <c r="H279" s="337"/>
      <c r="I279" s="337"/>
      <c r="J279" s="337"/>
      <c r="K279" s="338"/>
    </row>
    <row r="280" spans="1:12" ht="15" customHeight="1" x14ac:dyDescent="0.25">
      <c r="A280" s="498"/>
      <c r="B280" s="336"/>
      <c r="C280" s="336"/>
      <c r="D280" s="336"/>
      <c r="E280" s="336"/>
      <c r="F280" s="336"/>
      <c r="G280" s="336"/>
      <c r="H280" s="337"/>
      <c r="I280" s="337"/>
      <c r="J280" s="337"/>
      <c r="K280" s="338"/>
    </row>
    <row r="281" spans="1:12" ht="35.1" customHeight="1" x14ac:dyDescent="0.25">
      <c r="A281" s="1156" t="s">
        <v>88</v>
      </c>
      <c r="B281" s="1157"/>
      <c r="C281" s="1157"/>
      <c r="D281" s="1158"/>
      <c r="E281" s="1162" t="s">
        <v>40</v>
      </c>
      <c r="F281" s="1163"/>
      <c r="G281" s="1163"/>
      <c r="H281" s="1163"/>
      <c r="I281" s="1163"/>
      <c r="J281" s="1164"/>
      <c r="K281" s="338"/>
    </row>
    <row r="282" spans="1:12" ht="32.25" customHeight="1" x14ac:dyDescent="0.25">
      <c r="A282" s="1159"/>
      <c r="B282" s="1160"/>
      <c r="C282" s="1160"/>
      <c r="D282" s="1161"/>
      <c r="E282" s="1162" t="s">
        <v>91</v>
      </c>
      <c r="F282" s="1163"/>
      <c r="G282" s="1164"/>
      <c r="H282" s="1162" t="s">
        <v>90</v>
      </c>
      <c r="I282" s="1163"/>
      <c r="J282" s="1164"/>
      <c r="K282" s="338"/>
    </row>
    <row r="283" spans="1:12" ht="35.1" customHeight="1" x14ac:dyDescent="0.25">
      <c r="A283" s="327" t="s">
        <v>89</v>
      </c>
      <c r="B283" s="1156" t="s">
        <v>222</v>
      </c>
      <c r="C283" s="1158"/>
      <c r="D283" s="327" t="s">
        <v>98</v>
      </c>
      <c r="E283" s="323" t="s">
        <v>89</v>
      </c>
      <c r="F283" s="327" t="s">
        <v>222</v>
      </c>
      <c r="G283" s="327" t="s">
        <v>98</v>
      </c>
      <c r="H283" s="327" t="s">
        <v>89</v>
      </c>
      <c r="I283" s="327" t="s">
        <v>222</v>
      </c>
      <c r="J283" s="328" t="s">
        <v>98</v>
      </c>
      <c r="K283" s="338"/>
    </row>
    <row r="284" spans="1:12" ht="25.5" customHeight="1" x14ac:dyDescent="0.25">
      <c r="A284" s="528">
        <f>Inversiones!E19</f>
        <v>1031125</v>
      </c>
      <c r="B284" s="1199">
        <f>I141+J141+A284+(Inversiones!E34/12)+Inversiones!E40</f>
        <v>1042236.27</v>
      </c>
      <c r="C284" s="1200"/>
      <c r="D284" s="529">
        <f>B284-A284</f>
        <v>11111.270000000019</v>
      </c>
      <c r="E284" s="604">
        <f>H214</f>
        <v>1081000</v>
      </c>
      <c r="F284" s="499">
        <f>H221</f>
        <v>0</v>
      </c>
      <c r="G284" s="500">
        <f>F284-E284</f>
        <v>-1081000</v>
      </c>
      <c r="H284" s="605">
        <f>I214</f>
        <v>0</v>
      </c>
      <c r="I284" s="530">
        <f>I221</f>
        <v>0</v>
      </c>
      <c r="J284" s="524">
        <f>I284-H284</f>
        <v>0</v>
      </c>
      <c r="K284" s="338"/>
    </row>
    <row r="285" spans="1:12" s="9" customFormat="1" ht="27.75" customHeight="1" x14ac:dyDescent="0.25">
      <c r="A285" s="501"/>
      <c r="B285" s="502"/>
      <c r="C285" s="502"/>
      <c r="D285" s="502"/>
      <c r="E285" s="503">
        <f>E284-H214</f>
        <v>0</v>
      </c>
      <c r="F285" s="504"/>
      <c r="G285" s="505"/>
      <c r="H285" s="503">
        <f>H284-I214</f>
        <v>0</v>
      </c>
      <c r="I285" s="502"/>
      <c r="J285" s="506"/>
      <c r="K285" s="507"/>
      <c r="L285" s="8"/>
    </row>
    <row r="286" spans="1:12" ht="15" customHeight="1" x14ac:dyDescent="0.25">
      <c r="A286" s="501"/>
      <c r="B286" s="447"/>
      <c r="C286" s="447"/>
      <c r="D286" s="447"/>
      <c r="E286" s="447"/>
      <c r="F286" s="447"/>
      <c r="G286" s="447"/>
      <c r="H286" s="447"/>
      <c r="I286" s="447"/>
      <c r="J286" s="447"/>
      <c r="K286" s="448"/>
    </row>
    <row r="287" spans="1:12" ht="30" customHeight="1" x14ac:dyDescent="0.25">
      <c r="A287" s="450" t="s">
        <v>202</v>
      </c>
      <c r="B287" s="451"/>
      <c r="C287" s="451"/>
      <c r="D287" s="451"/>
      <c r="E287" s="474"/>
      <c r="F287" s="336"/>
      <c r="G287" s="336"/>
      <c r="H287" s="337"/>
      <c r="I287" s="337"/>
      <c r="J287" s="337"/>
      <c r="K287" s="338"/>
    </row>
    <row r="288" spans="1:12" ht="15" customHeight="1" thickBot="1" x14ac:dyDescent="0.3">
      <c r="A288" s="508"/>
      <c r="B288" s="474"/>
      <c r="C288" s="474"/>
      <c r="D288" s="474"/>
      <c r="E288" s="474"/>
      <c r="F288" s="336"/>
      <c r="G288" s="336"/>
      <c r="H288" s="337"/>
      <c r="I288" s="337"/>
      <c r="J288" s="337"/>
      <c r="K288" s="338"/>
    </row>
    <row r="289" spans="1:12" s="12" customFormat="1" ht="44.1" customHeight="1" x14ac:dyDescent="0.25">
      <c r="A289" s="1214" t="s">
        <v>133</v>
      </c>
      <c r="B289" s="1215"/>
      <c r="C289" s="1215"/>
      <c r="D289" s="1215"/>
      <c r="E289" s="1215"/>
      <c r="F289" s="1216"/>
      <c r="G289" s="52" t="s">
        <v>101</v>
      </c>
      <c r="H289" s="1152" t="s">
        <v>214</v>
      </c>
      <c r="I289" s="1153"/>
      <c r="J289" s="337"/>
      <c r="K289" s="338"/>
      <c r="L289" s="11"/>
    </row>
    <row r="290" spans="1:12" s="12" customFormat="1" ht="54" customHeight="1" x14ac:dyDescent="0.25">
      <c r="A290" s="1196" t="s">
        <v>406</v>
      </c>
      <c r="B290" s="1197"/>
      <c r="C290" s="1197"/>
      <c r="D290" s="1197"/>
      <c r="E290" s="1197"/>
      <c r="F290" s="1198"/>
      <c r="G290" s="509" t="s">
        <v>94</v>
      </c>
      <c r="H290" s="1154">
        <f>(F284+I284)/(I41*12)</f>
        <v>0</v>
      </c>
      <c r="I290" s="1155"/>
      <c r="J290" s="390"/>
      <c r="K290" s="391"/>
      <c r="L290" s="11"/>
    </row>
    <row r="291" spans="1:12" s="12" customFormat="1" ht="54" customHeight="1" x14ac:dyDescent="0.25">
      <c r="A291" s="1196" t="s">
        <v>127</v>
      </c>
      <c r="B291" s="1197"/>
      <c r="C291" s="1197"/>
      <c r="D291" s="1197"/>
      <c r="E291" s="1197"/>
      <c r="F291" s="1198"/>
      <c r="G291" s="509" t="s">
        <v>105</v>
      </c>
      <c r="H291" s="1154">
        <f>I41</f>
        <v>42</v>
      </c>
      <c r="I291" s="1155"/>
      <c r="J291" s="390"/>
      <c r="K291" s="338"/>
      <c r="L291" s="11"/>
    </row>
    <row r="292" spans="1:12" s="12" customFormat="1" ht="54" customHeight="1" x14ac:dyDescent="0.25">
      <c r="A292" s="1211" t="s">
        <v>128</v>
      </c>
      <c r="B292" s="1212"/>
      <c r="C292" s="1212"/>
      <c r="D292" s="1212"/>
      <c r="E292" s="1212"/>
      <c r="F292" s="1213"/>
      <c r="G292" s="509" t="s">
        <v>105</v>
      </c>
      <c r="H292" s="1154">
        <f>H291</f>
        <v>42</v>
      </c>
      <c r="I292" s="1155"/>
      <c r="J292" s="390"/>
      <c r="K292" s="338"/>
      <c r="L292" s="11"/>
    </row>
    <row r="293" spans="1:12" s="12" customFormat="1" ht="54" customHeight="1" x14ac:dyDescent="0.25">
      <c r="A293" s="1196" t="s">
        <v>129</v>
      </c>
      <c r="B293" s="1197"/>
      <c r="C293" s="1197"/>
      <c r="D293" s="1197"/>
      <c r="E293" s="1197"/>
      <c r="F293" s="1198"/>
      <c r="G293" s="509" t="s">
        <v>106</v>
      </c>
      <c r="H293" s="1154">
        <f>E190</f>
        <v>0</v>
      </c>
      <c r="I293" s="1155"/>
      <c r="J293" s="410"/>
      <c r="K293" s="338"/>
      <c r="L293" s="11"/>
    </row>
    <row r="294" spans="1:12" s="12" customFormat="1" ht="54" customHeight="1" x14ac:dyDescent="0.25">
      <c r="A294" s="1196" t="s">
        <v>130</v>
      </c>
      <c r="B294" s="1197"/>
      <c r="C294" s="1197"/>
      <c r="D294" s="1197"/>
      <c r="E294" s="1197"/>
      <c r="F294" s="1198"/>
      <c r="G294" s="509" t="s">
        <v>107</v>
      </c>
      <c r="H294" s="1154">
        <f>E187</f>
        <v>16</v>
      </c>
      <c r="I294" s="1155"/>
      <c r="J294" s="410"/>
      <c r="K294" s="338"/>
      <c r="L294" s="11"/>
    </row>
    <row r="295" spans="1:12" s="12" customFormat="1" ht="54" customHeight="1" x14ac:dyDescent="0.25">
      <c r="A295" s="1196" t="s">
        <v>131</v>
      </c>
      <c r="B295" s="1197"/>
      <c r="C295" s="1197"/>
      <c r="D295" s="1197"/>
      <c r="E295" s="1197"/>
      <c r="F295" s="1198"/>
      <c r="G295" s="509" t="s">
        <v>108</v>
      </c>
      <c r="H295" s="1154">
        <f>E186</f>
        <v>0</v>
      </c>
      <c r="I295" s="1155"/>
      <c r="J295" s="410"/>
      <c r="K295" s="338"/>
      <c r="L295" s="11"/>
    </row>
    <row r="296" spans="1:12" s="12" customFormat="1" ht="54" customHeight="1" x14ac:dyDescent="0.25">
      <c r="A296" s="1208" t="s">
        <v>407</v>
      </c>
      <c r="B296" s="1209"/>
      <c r="C296" s="1209"/>
      <c r="D296" s="1209"/>
      <c r="E296" s="1209"/>
      <c r="F296" s="1210"/>
      <c r="G296" s="510" t="s">
        <v>331</v>
      </c>
      <c r="H296" s="1221">
        <f>F284+I284</f>
        <v>0</v>
      </c>
      <c r="I296" s="1222"/>
      <c r="J296" s="410"/>
      <c r="K296" s="338"/>
      <c r="L296" s="11"/>
    </row>
    <row r="297" spans="1:12" s="12" customFormat="1" ht="54" customHeight="1" x14ac:dyDescent="0.25">
      <c r="A297" s="1201" t="s">
        <v>99</v>
      </c>
      <c r="B297" s="1202"/>
      <c r="C297" s="1202"/>
      <c r="D297" s="1202"/>
      <c r="E297" s="1202"/>
      <c r="F297" s="1203"/>
      <c r="G297" s="509" t="s">
        <v>94</v>
      </c>
      <c r="H297" s="1154">
        <f>B284</f>
        <v>1042236.27</v>
      </c>
      <c r="I297" s="1155"/>
      <c r="J297" s="410"/>
      <c r="K297" s="338"/>
      <c r="L297" s="11"/>
    </row>
    <row r="298" spans="1:12" s="12" customFormat="1" ht="54" customHeight="1" x14ac:dyDescent="0.25">
      <c r="A298" s="1201" t="s">
        <v>109</v>
      </c>
      <c r="B298" s="1202"/>
      <c r="C298" s="1202"/>
      <c r="D298" s="1202"/>
      <c r="E298" s="1202"/>
      <c r="F298" s="1203"/>
      <c r="G298" s="509" t="s">
        <v>102</v>
      </c>
      <c r="H298" s="1154" t="e">
        <f>(F241*F221)/270</f>
        <v>#DIV/0!</v>
      </c>
      <c r="I298" s="1155"/>
      <c r="J298" s="410"/>
      <c r="K298" s="338"/>
      <c r="L298" s="11"/>
    </row>
    <row r="299" spans="1:12" s="12" customFormat="1" ht="54" customHeight="1" thickBot="1" x14ac:dyDescent="0.3">
      <c r="A299" s="1204" t="s">
        <v>100</v>
      </c>
      <c r="B299" s="1205"/>
      <c r="C299" s="1205"/>
      <c r="D299" s="1205"/>
      <c r="E299" s="1205"/>
      <c r="F299" s="1206"/>
      <c r="G299" s="511" t="s">
        <v>103</v>
      </c>
      <c r="H299" s="1168">
        <f>I284/3.2</f>
        <v>0</v>
      </c>
      <c r="I299" s="1169"/>
      <c r="J299" s="410"/>
      <c r="K299" s="338"/>
      <c r="L299" s="11"/>
    </row>
    <row r="300" spans="1:12" s="12" customFormat="1" ht="35.25" customHeight="1" x14ac:dyDescent="0.25">
      <c r="A300" s="1207" t="s">
        <v>132</v>
      </c>
      <c r="B300" s="1144"/>
      <c r="C300" s="1144"/>
      <c r="D300" s="1144"/>
      <c r="E300" s="1144"/>
      <c r="F300" s="1144"/>
      <c r="G300" s="393"/>
      <c r="H300" s="1195" t="s">
        <v>110</v>
      </c>
      <c r="I300" s="1195"/>
      <c r="J300" s="410"/>
      <c r="K300" s="338"/>
      <c r="L300" s="11"/>
    </row>
    <row r="301" spans="1:12" ht="21" customHeight="1" x14ac:dyDescent="0.25">
      <c r="A301" s="392"/>
      <c r="B301" s="393"/>
      <c r="C301" s="393"/>
      <c r="D301" s="393"/>
      <c r="E301" s="393"/>
      <c r="F301" s="393"/>
      <c r="G301" s="393"/>
      <c r="H301" s="512"/>
      <c r="I301" s="512"/>
      <c r="J301" s="410"/>
      <c r="K301" s="338"/>
    </row>
    <row r="302" spans="1:12" ht="21" customHeight="1" x14ac:dyDescent="0.25">
      <c r="A302" s="450" t="s">
        <v>203</v>
      </c>
      <c r="B302" s="337"/>
      <c r="C302" s="393"/>
      <c r="D302" s="393"/>
      <c r="E302" s="393"/>
      <c r="F302" s="393"/>
      <c r="G302" s="393"/>
      <c r="H302" s="512"/>
      <c r="I302" s="512"/>
      <c r="J302" s="410"/>
      <c r="K302" s="338"/>
    </row>
    <row r="303" spans="1:12" ht="21" customHeight="1" x14ac:dyDescent="0.25">
      <c r="A303" s="450"/>
      <c r="B303" s="337"/>
      <c r="C303" s="393"/>
      <c r="D303" s="393"/>
      <c r="E303" s="393"/>
      <c r="F303" s="393"/>
      <c r="G303" s="393"/>
      <c r="H303" s="512"/>
      <c r="I303" s="512"/>
      <c r="J303" s="410"/>
      <c r="K303" s="338"/>
    </row>
    <row r="304" spans="1:12" ht="44.1" customHeight="1" x14ac:dyDescent="0.25">
      <c r="A304" s="1045" t="s">
        <v>141</v>
      </c>
      <c r="B304" s="1147"/>
      <c r="C304" s="1147"/>
      <c r="D304" s="1046"/>
      <c r="E304" s="328" t="s">
        <v>104</v>
      </c>
      <c r="F304" s="328" t="s">
        <v>111</v>
      </c>
      <c r="G304" s="328" t="s">
        <v>112</v>
      </c>
      <c r="H304" s="337"/>
      <c r="I304" s="512"/>
      <c r="J304" s="410"/>
      <c r="K304" s="338"/>
    </row>
    <row r="305" spans="1:12" ht="24.95" customHeight="1" x14ac:dyDescent="0.25">
      <c r="A305" s="908" t="s">
        <v>113</v>
      </c>
      <c r="B305" s="908"/>
      <c r="C305" s="908"/>
      <c r="D305" s="908"/>
      <c r="E305" s="513" t="s">
        <v>115</v>
      </c>
      <c r="F305" s="663"/>
      <c r="G305" s="454"/>
      <c r="H305" s="337"/>
      <c r="I305" s="390"/>
      <c r="J305" s="390"/>
      <c r="K305" s="391"/>
    </row>
    <row r="306" spans="1:12" ht="24.95" customHeight="1" x14ac:dyDescent="0.25">
      <c r="A306" s="908" t="s">
        <v>114</v>
      </c>
      <c r="B306" s="908"/>
      <c r="C306" s="908"/>
      <c r="D306" s="908"/>
      <c r="E306" s="513" t="s">
        <v>115</v>
      </c>
      <c r="F306" s="663"/>
      <c r="G306" s="454"/>
      <c r="H306" s="337"/>
      <c r="I306" s="390"/>
      <c r="J306" s="390"/>
      <c r="K306" s="391"/>
    </row>
    <row r="307" spans="1:12" ht="24.95" customHeight="1" x14ac:dyDescent="0.25">
      <c r="A307" s="908" t="s">
        <v>509</v>
      </c>
      <c r="B307" s="908"/>
      <c r="C307" s="908"/>
      <c r="D307" s="908"/>
      <c r="E307" s="513" t="s">
        <v>115</v>
      </c>
      <c r="F307" s="663"/>
      <c r="G307" s="454"/>
      <c r="H307" s="337"/>
      <c r="I307" s="390"/>
      <c r="J307" s="390"/>
      <c r="K307" s="391"/>
    </row>
    <row r="308" spans="1:12" ht="24.95" customHeight="1" x14ac:dyDescent="0.25">
      <c r="A308" s="908" t="s">
        <v>139</v>
      </c>
      <c r="B308" s="908"/>
      <c r="C308" s="908"/>
      <c r="D308" s="908"/>
      <c r="E308" s="513" t="s">
        <v>115</v>
      </c>
      <c r="F308" s="663"/>
      <c r="G308" s="454"/>
      <c r="H308" s="337"/>
      <c r="I308" s="390"/>
      <c r="J308" s="390"/>
      <c r="K308" s="391"/>
    </row>
    <row r="309" spans="1:12" ht="24.95" customHeight="1" x14ac:dyDescent="0.25">
      <c r="A309" s="908" t="s">
        <v>140</v>
      </c>
      <c r="B309" s="908"/>
      <c r="C309" s="908"/>
      <c r="D309" s="908"/>
      <c r="E309" s="513">
        <f>(G141)/H291</f>
        <v>0</v>
      </c>
      <c r="F309" s="664"/>
      <c r="G309" s="454"/>
      <c r="H309" s="337"/>
      <c r="I309" s="390"/>
      <c r="J309" s="390"/>
      <c r="K309" s="391"/>
    </row>
    <row r="310" spans="1:12" ht="24.95" customHeight="1" x14ac:dyDescent="0.25">
      <c r="A310" s="908" t="s">
        <v>310</v>
      </c>
      <c r="B310" s="908"/>
      <c r="C310" s="908"/>
      <c r="D310" s="908"/>
      <c r="E310" s="513">
        <f>G284+J284</f>
        <v>-1081000</v>
      </c>
      <c r="F310" s="664"/>
      <c r="G310" s="454"/>
      <c r="H310" s="337"/>
      <c r="I310" s="390"/>
      <c r="J310" s="390"/>
      <c r="K310" s="391"/>
    </row>
    <row r="311" spans="1:12" ht="24.95" customHeight="1" x14ac:dyDescent="0.25">
      <c r="A311" s="1146" t="s">
        <v>511</v>
      </c>
      <c r="B311" s="1146"/>
      <c r="C311" s="1146"/>
      <c r="D311" s="1146"/>
      <c r="E311" s="514" t="e">
        <f>C271</f>
        <v>#VALUE!</v>
      </c>
      <c r="F311" s="663"/>
      <c r="G311" s="454"/>
      <c r="H311" s="337"/>
      <c r="I311" s="393"/>
      <c r="J311" s="393"/>
      <c r="K311" s="448"/>
    </row>
    <row r="312" spans="1:12" ht="24.95" customHeight="1" x14ac:dyDescent="0.25">
      <c r="A312" s="1146" t="s">
        <v>510</v>
      </c>
      <c r="B312" s="1146"/>
      <c r="C312" s="1146"/>
      <c r="D312" s="1146"/>
      <c r="E312" s="513" t="e">
        <f>C272</f>
        <v>#DIV/0!</v>
      </c>
      <c r="F312" s="663"/>
      <c r="G312" s="454"/>
      <c r="H312" s="337"/>
      <c r="I312" s="393"/>
      <c r="J312" s="393"/>
      <c r="K312" s="448"/>
    </row>
    <row r="313" spans="1:12" ht="24.95" customHeight="1" x14ac:dyDescent="0.25">
      <c r="A313" s="1165" t="s">
        <v>223</v>
      </c>
      <c r="B313" s="1166"/>
      <c r="C313" s="1166"/>
      <c r="D313" s="1167"/>
      <c r="E313" s="513" t="e">
        <f>(D258+D260)/(D261/F221)</f>
        <v>#DIV/0!</v>
      </c>
      <c r="F313" s="663"/>
      <c r="G313" s="454"/>
      <c r="H313" s="337"/>
      <c r="I313" s="393"/>
      <c r="J313" s="393"/>
      <c r="K313" s="448"/>
    </row>
    <row r="314" spans="1:12" ht="24.95" customHeight="1" x14ac:dyDescent="0.25">
      <c r="A314" s="1146" t="s">
        <v>142</v>
      </c>
      <c r="B314" s="1146"/>
      <c r="C314" s="1146"/>
      <c r="D314" s="1146"/>
      <c r="E314" s="515" t="e">
        <f>C273</f>
        <v>#DIV/0!</v>
      </c>
      <c r="F314" s="664"/>
      <c r="G314" s="454"/>
      <c r="H314" s="337"/>
      <c r="I314" s="516"/>
      <c r="J314" s="516"/>
      <c r="K314" s="517"/>
    </row>
    <row r="315" spans="1:12" ht="24.95" customHeight="1" x14ac:dyDescent="0.25">
      <c r="A315" s="10"/>
      <c r="B315" s="20"/>
      <c r="C315" s="20"/>
      <c r="D315" s="20"/>
      <c r="E315" s="20"/>
      <c r="F315" s="20"/>
      <c r="G315" s="20"/>
      <c r="H315" s="19"/>
      <c r="I315" s="19"/>
      <c r="J315" s="19"/>
      <c r="K315" s="331"/>
    </row>
    <row r="316" spans="1:12" ht="24.95" customHeight="1" x14ac:dyDescent="0.25">
      <c r="A316" s="10"/>
      <c r="B316" s="20"/>
      <c r="C316" s="20"/>
      <c r="D316" s="20"/>
      <c r="E316" s="20"/>
      <c r="F316" s="20"/>
      <c r="G316" s="20"/>
      <c r="H316" s="19"/>
      <c r="I316" s="19"/>
      <c r="J316" s="19"/>
      <c r="K316" s="331"/>
      <c r="L316"/>
    </row>
    <row r="317" spans="1:12" ht="22.5" customHeight="1" x14ac:dyDescent="0.25">
      <c r="A317" s="18"/>
      <c r="B317" s="13"/>
      <c r="C317" s="13"/>
      <c r="D317" s="13"/>
      <c r="E317" s="13"/>
      <c r="F317" s="13"/>
      <c r="G317" s="13"/>
      <c r="H317" s="13"/>
      <c r="I317" s="13"/>
      <c r="J317" s="13"/>
      <c r="K317" s="17"/>
      <c r="L317"/>
    </row>
    <row r="318" spans="1:12" ht="15" customHeight="1" x14ac:dyDescent="0.25">
      <c r="A318" s="18"/>
      <c r="B318" s="13"/>
      <c r="C318" s="13"/>
      <c r="D318" s="13"/>
      <c r="E318" s="13"/>
      <c r="F318" s="13"/>
      <c r="G318" s="13"/>
      <c r="H318" s="13"/>
      <c r="I318" s="13"/>
      <c r="J318" s="13"/>
      <c r="K318" s="17"/>
      <c r="L318"/>
    </row>
    <row r="319" spans="1:12" ht="15" customHeight="1" x14ac:dyDescent="0.25">
      <c r="A319" s="332"/>
      <c r="B319" s="333"/>
      <c r="C319" s="333"/>
      <c r="D319" s="333"/>
      <c r="E319" s="333"/>
      <c r="F319" s="333"/>
      <c r="G319" s="333"/>
      <c r="H319" s="333"/>
      <c r="I319" s="333"/>
      <c r="J319" s="333"/>
      <c r="K319" s="334"/>
      <c r="L319"/>
    </row>
    <row r="320" spans="1:12" ht="114" customHeight="1" x14ac:dyDescent="0.25">
      <c r="L320"/>
    </row>
    <row r="321" spans="1:12" ht="15" customHeight="1" x14ac:dyDescent="0.25">
      <c r="L321"/>
    </row>
    <row r="322" spans="1:12" ht="15" customHeight="1" x14ac:dyDescent="0.25">
      <c r="L322"/>
    </row>
    <row r="323" spans="1:12" ht="19.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9.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9.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9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9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7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 customHeight="1" x14ac:dyDescent="0.25">
      <c r="L339"/>
    </row>
    <row r="340" spans="1:12" ht="15" customHeight="1" x14ac:dyDescent="0.25">
      <c r="A340" s="4"/>
      <c r="L340"/>
    </row>
  </sheetData>
  <sheetProtection algorithmName="SHA-512" hashValue="wPtwqjvSBa5wIpqm1fWmxTqLHQnG5YDW6JQrPujR7X4Kb9tUjmFaVXYTJKjk3IVK7G1SE1ngSwGpS9KjqVKO2w==" saltValue="UNAHhUPLqLZKsAwj8iO8/w==" spinCount="100000" sheet="1" objects="1" scenarios="1" formatRows="0"/>
  <customSheetViews>
    <customSheetView guid="{2A80C2AF-315E-48B4-AB4B-22B0028E8CB4}" scale="80" showRuler="0">
      <selection activeCell="A23" sqref="A23:K23"/>
      <pageMargins left="0.47244094488188981" right="0.51181102362204722" top="0.51181102362204722" bottom="0.62992125984251968" header="0.31496062992125984" footer="0.31496062992125984"/>
      <pageSetup paperSize="9" scale="45" fitToWidth="0" orientation="portrait" r:id="rId1"/>
      <headerFooter alignWithMargins="0">
        <oddFooter>&amp;C&amp;"Arial Narrow,Negrita"&amp;9Pagina &amp;P de &amp;N</oddFooter>
      </headerFooter>
    </customSheetView>
  </customSheetViews>
  <mergeCells count="344">
    <mergeCell ref="E282:G282"/>
    <mergeCell ref="A252:B252"/>
    <mergeCell ref="E151:F151"/>
    <mergeCell ref="A297:F297"/>
    <mergeCell ref="H294:I294"/>
    <mergeCell ref="E176:F176"/>
    <mergeCell ref="B283:C283"/>
    <mergeCell ref="E171:F171"/>
    <mergeCell ref="E178:F178"/>
    <mergeCell ref="A215:D215"/>
    <mergeCell ref="H282:J282"/>
    <mergeCell ref="H296:I296"/>
    <mergeCell ref="H295:I295"/>
    <mergeCell ref="E195:F195"/>
    <mergeCell ref="E198:F198"/>
    <mergeCell ref="E199:F199"/>
    <mergeCell ref="H210:I210"/>
    <mergeCell ref="A186:A200"/>
    <mergeCell ref="A241:C241"/>
    <mergeCell ref="A273:B273"/>
    <mergeCell ref="A259:B259"/>
    <mergeCell ref="A206:K206"/>
    <mergeCell ref="G184:J184"/>
    <mergeCell ref="A182:K182"/>
    <mergeCell ref="H300:I300"/>
    <mergeCell ref="A293:F293"/>
    <mergeCell ref="B284:C284"/>
    <mergeCell ref="A298:F298"/>
    <mergeCell ref="A299:F299"/>
    <mergeCell ref="A305:D305"/>
    <mergeCell ref="A306:D306"/>
    <mergeCell ref="A300:F300"/>
    <mergeCell ref="A290:F290"/>
    <mergeCell ref="A291:F291"/>
    <mergeCell ref="A296:F296"/>
    <mergeCell ref="A292:F292"/>
    <mergeCell ref="A289:F289"/>
    <mergeCell ref="A294:F294"/>
    <mergeCell ref="A295:F295"/>
    <mergeCell ref="H293:I293"/>
    <mergeCell ref="J26:K26"/>
    <mergeCell ref="J27:K27"/>
    <mergeCell ref="A72:G72"/>
    <mergeCell ref="A73:G73"/>
    <mergeCell ref="A75:G75"/>
    <mergeCell ref="A213:C213"/>
    <mergeCell ref="B148:K148"/>
    <mergeCell ref="A203:J203"/>
    <mergeCell ref="E167:F167"/>
    <mergeCell ref="A211:C211"/>
    <mergeCell ref="J210:J211"/>
    <mergeCell ref="A207:K207"/>
    <mergeCell ref="K184:K185"/>
    <mergeCell ref="A67:C67"/>
    <mergeCell ref="D69:G69"/>
    <mergeCell ref="D70:G70"/>
    <mergeCell ref="D67:G67"/>
    <mergeCell ref="D68:G68"/>
    <mergeCell ref="A74:G74"/>
    <mergeCell ref="A77:G77"/>
    <mergeCell ref="D184:D185"/>
    <mergeCell ref="A80:K80"/>
    <mergeCell ref="A57:D57"/>
    <mergeCell ref="A82:G82"/>
    <mergeCell ref="A314:D314"/>
    <mergeCell ref="A304:D304"/>
    <mergeCell ref="A224:C224"/>
    <mergeCell ref="A240:C240"/>
    <mergeCell ref="A244:C244"/>
    <mergeCell ref="A242:C242"/>
    <mergeCell ref="A309:D309"/>
    <mergeCell ref="A310:D310"/>
    <mergeCell ref="A311:D311"/>
    <mergeCell ref="A272:B272"/>
    <mergeCell ref="A307:D307"/>
    <mergeCell ref="A312:D312"/>
    <mergeCell ref="A269:J269"/>
    <mergeCell ref="A308:D308"/>
    <mergeCell ref="H289:I289"/>
    <mergeCell ref="H290:I290"/>
    <mergeCell ref="H291:I291"/>
    <mergeCell ref="A281:D282"/>
    <mergeCell ref="E281:J281"/>
    <mergeCell ref="H292:I292"/>
    <mergeCell ref="H297:I297"/>
    <mergeCell ref="A313:D313"/>
    <mergeCell ref="H298:I298"/>
    <mergeCell ref="H299:I299"/>
    <mergeCell ref="A218:J218"/>
    <mergeCell ref="E179:F179"/>
    <mergeCell ref="E180:F180"/>
    <mergeCell ref="E166:F166"/>
    <mergeCell ref="B111:C111"/>
    <mergeCell ref="A168:A172"/>
    <mergeCell ref="E149:F149"/>
    <mergeCell ref="E150:F150"/>
    <mergeCell ref="A157:A162"/>
    <mergeCell ref="E191:F191"/>
    <mergeCell ref="E192:F192"/>
    <mergeCell ref="E193:F193"/>
    <mergeCell ref="E194:F194"/>
    <mergeCell ref="A184:A185"/>
    <mergeCell ref="B184:C185"/>
    <mergeCell ref="A173:A176"/>
    <mergeCell ref="A214:C214"/>
    <mergeCell ref="A216:D216"/>
    <mergeCell ref="D141:F141"/>
    <mergeCell ref="E184:F185"/>
    <mergeCell ref="E188:F188"/>
    <mergeCell ref="A212:C212"/>
    <mergeCell ref="B173:K173"/>
    <mergeCell ref="A98:C99"/>
    <mergeCell ref="A55:C55"/>
    <mergeCell ref="D55:G55"/>
    <mergeCell ref="A54:C54"/>
    <mergeCell ref="D54:G54"/>
    <mergeCell ref="A104:D104"/>
    <mergeCell ref="A47:C47"/>
    <mergeCell ref="A70:C70"/>
    <mergeCell ref="A60:G60"/>
    <mergeCell ref="A61:G61"/>
    <mergeCell ref="A64:K64"/>
    <mergeCell ref="A53:C53"/>
    <mergeCell ref="D50:G50"/>
    <mergeCell ref="D51:G51"/>
    <mergeCell ref="D52:G52"/>
    <mergeCell ref="A51:C51"/>
    <mergeCell ref="A50:C50"/>
    <mergeCell ref="D53:G53"/>
    <mergeCell ref="A97:C97"/>
    <mergeCell ref="D99:K99"/>
    <mergeCell ref="A15:C15"/>
    <mergeCell ref="D20:F20"/>
    <mergeCell ref="A26:B26"/>
    <mergeCell ref="A27:B27"/>
    <mergeCell ref="H27:I27"/>
    <mergeCell ref="F26:G26"/>
    <mergeCell ref="A41:C41"/>
    <mergeCell ref="D29:G29"/>
    <mergeCell ref="D30:G30"/>
    <mergeCell ref="D31:G31"/>
    <mergeCell ref="D32:G32"/>
    <mergeCell ref="D33:G33"/>
    <mergeCell ref="D34:G34"/>
    <mergeCell ref="D35:G35"/>
    <mergeCell ref="D39:G39"/>
    <mergeCell ref="D40:G40"/>
    <mergeCell ref="A29:C29"/>
    <mergeCell ref="D36:G36"/>
    <mergeCell ref="D37:G37"/>
    <mergeCell ref="D38:G38"/>
    <mergeCell ref="A36:C36"/>
    <mergeCell ref="A34:C34"/>
    <mergeCell ref="A35:C35"/>
    <mergeCell ref="A37:C37"/>
    <mergeCell ref="D6:F6"/>
    <mergeCell ref="D18:F18"/>
    <mergeCell ref="D19:F19"/>
    <mergeCell ref="A23:K23"/>
    <mergeCell ref="A24:D24"/>
    <mergeCell ref="F27:G27"/>
    <mergeCell ref="D8:K8"/>
    <mergeCell ref="J6:K6"/>
    <mergeCell ref="A18:C18"/>
    <mergeCell ref="A19:C19"/>
    <mergeCell ref="A11:C11"/>
    <mergeCell ref="A12:C12"/>
    <mergeCell ref="A13:C13"/>
    <mergeCell ref="A14:C14"/>
    <mergeCell ref="D27:E27"/>
    <mergeCell ref="D26:E26"/>
    <mergeCell ref="A17:C17"/>
    <mergeCell ref="A25:K25"/>
    <mergeCell ref="H26:I26"/>
    <mergeCell ref="A20:C20"/>
    <mergeCell ref="D12:F12"/>
    <mergeCell ref="D13:F13"/>
    <mergeCell ref="D15:F15"/>
    <mergeCell ref="D14:F14"/>
    <mergeCell ref="A262:B262"/>
    <mergeCell ref="A271:B271"/>
    <mergeCell ref="A266:B266"/>
    <mergeCell ref="A258:B258"/>
    <mergeCell ref="A261:B261"/>
    <mergeCell ref="A263:B263"/>
    <mergeCell ref="A264:B264"/>
    <mergeCell ref="A267:C267"/>
    <mergeCell ref="A260:B260"/>
    <mergeCell ref="A265:B265"/>
    <mergeCell ref="A231:C231"/>
    <mergeCell ref="A232:C232"/>
    <mergeCell ref="A253:B253"/>
    <mergeCell ref="A256:B256"/>
    <mergeCell ref="B177:K177"/>
    <mergeCell ref="B164:K164"/>
    <mergeCell ref="E172:F172"/>
    <mergeCell ref="E174:F174"/>
    <mergeCell ref="E175:F175"/>
    <mergeCell ref="A247:C247"/>
    <mergeCell ref="A248:F248"/>
    <mergeCell ref="A239:C239"/>
    <mergeCell ref="J219:J220"/>
    <mergeCell ref="A233:C233"/>
    <mergeCell ref="A230:C230"/>
    <mergeCell ref="A228:J228"/>
    <mergeCell ref="A234:C234"/>
    <mergeCell ref="A245:C245"/>
    <mergeCell ref="A236:J236"/>
    <mergeCell ref="A243:C243"/>
    <mergeCell ref="A238:B238"/>
    <mergeCell ref="A227:K227"/>
    <mergeCell ref="E170:F170"/>
    <mergeCell ref="E187:F187"/>
    <mergeCell ref="A277:H277"/>
    <mergeCell ref="E189:F189"/>
    <mergeCell ref="E197:F197"/>
    <mergeCell ref="E190:F190"/>
    <mergeCell ref="E165:F165"/>
    <mergeCell ref="B137:C137"/>
    <mergeCell ref="B139:C139"/>
    <mergeCell ref="D145:D146"/>
    <mergeCell ref="B138:C138"/>
    <mergeCell ref="E156:F156"/>
    <mergeCell ref="A257:B257"/>
    <mergeCell ref="A145:A146"/>
    <mergeCell ref="A254:B254"/>
    <mergeCell ref="B169:K169"/>
    <mergeCell ref="A221:C221"/>
    <mergeCell ref="A223:C223"/>
    <mergeCell ref="H219:I219"/>
    <mergeCell ref="A220:C220"/>
    <mergeCell ref="E162:F162"/>
    <mergeCell ref="E186:F186"/>
    <mergeCell ref="E196:F196"/>
    <mergeCell ref="A222:C222"/>
    <mergeCell ref="A250:J250"/>
    <mergeCell ref="A246:C246"/>
    <mergeCell ref="B168:K168"/>
    <mergeCell ref="E159:F159"/>
    <mergeCell ref="E161:F161"/>
    <mergeCell ref="A177:A180"/>
    <mergeCell ref="B132:K132"/>
    <mergeCell ref="B133:K133"/>
    <mergeCell ref="A65:G65"/>
    <mergeCell ref="A66:C66"/>
    <mergeCell ref="D66:G66"/>
    <mergeCell ref="A114:A119"/>
    <mergeCell ref="A126:A131"/>
    <mergeCell ref="E145:F146"/>
    <mergeCell ref="B127:K127"/>
    <mergeCell ref="A147:A151"/>
    <mergeCell ref="B157:K157"/>
    <mergeCell ref="B158:K158"/>
    <mergeCell ref="A163:A167"/>
    <mergeCell ref="B147:K147"/>
    <mergeCell ref="B163:K163"/>
    <mergeCell ref="A152:A156"/>
    <mergeCell ref="B152:K152"/>
    <mergeCell ref="B153:K153"/>
    <mergeCell ref="E160:F160"/>
    <mergeCell ref="A85:G85"/>
    <mergeCell ref="A2:K2"/>
    <mergeCell ref="B130:C130"/>
    <mergeCell ref="A52:C52"/>
    <mergeCell ref="A91:G91"/>
    <mergeCell ref="B118:C118"/>
    <mergeCell ref="B120:K120"/>
    <mergeCell ref="A69:C69"/>
    <mergeCell ref="A92:C92"/>
    <mergeCell ref="A93:C93"/>
    <mergeCell ref="A106:A107"/>
    <mergeCell ref="A59:G59"/>
    <mergeCell ref="A49:C49"/>
    <mergeCell ref="A43:D43"/>
    <mergeCell ref="B109:K109"/>
    <mergeCell ref="A83:K83"/>
    <mergeCell ref="A79:K79"/>
    <mergeCell ref="A108:A113"/>
    <mergeCell ref="A95:C95"/>
    <mergeCell ref="D97:K97"/>
    <mergeCell ref="D98:K98"/>
    <mergeCell ref="D49:G49"/>
    <mergeCell ref="A31:C31"/>
    <mergeCell ref="A32:C32"/>
    <mergeCell ref="A33:C33"/>
    <mergeCell ref="A30:C30"/>
    <mergeCell ref="D96:K96"/>
    <mergeCell ref="D95:K95"/>
    <mergeCell ref="D92:K92"/>
    <mergeCell ref="D93:K93"/>
    <mergeCell ref="D94:K94"/>
    <mergeCell ref="A46:C46"/>
    <mergeCell ref="A38:C38"/>
    <mergeCell ref="A94:C94"/>
    <mergeCell ref="A96:C96"/>
    <mergeCell ref="A40:C40"/>
    <mergeCell ref="A39:C39"/>
    <mergeCell ref="D46:G46"/>
    <mergeCell ref="A48:C48"/>
    <mergeCell ref="A88:K89"/>
    <mergeCell ref="H72:K72"/>
    <mergeCell ref="A68:C68"/>
    <mergeCell ref="A86:K86"/>
    <mergeCell ref="A87:K87"/>
    <mergeCell ref="D47:G47"/>
    <mergeCell ref="D48:G48"/>
    <mergeCell ref="A120:A125"/>
    <mergeCell ref="A102:K102"/>
    <mergeCell ref="B129:C129"/>
    <mergeCell ref="A132:A137"/>
    <mergeCell ref="K145:K146"/>
    <mergeCell ref="E154:F154"/>
    <mergeCell ref="B141:C141"/>
    <mergeCell ref="B145:C146"/>
    <mergeCell ref="B135:C135"/>
    <mergeCell ref="G145:J145"/>
    <mergeCell ref="H106:J106"/>
    <mergeCell ref="E106:E107"/>
    <mergeCell ref="B117:C117"/>
    <mergeCell ref="B134:C134"/>
    <mergeCell ref="B116:C116"/>
    <mergeCell ref="B131:C131"/>
    <mergeCell ref="B119:C119"/>
    <mergeCell ref="B115:K115"/>
    <mergeCell ref="B121:K121"/>
    <mergeCell ref="B110:C110"/>
    <mergeCell ref="B122:C122"/>
    <mergeCell ref="B125:C125"/>
    <mergeCell ref="B123:C123"/>
    <mergeCell ref="B124:C124"/>
    <mergeCell ref="B112:C112"/>
    <mergeCell ref="G106:G107"/>
    <mergeCell ref="B114:K114"/>
    <mergeCell ref="B113:C113"/>
    <mergeCell ref="B106:C107"/>
    <mergeCell ref="D106:D107"/>
    <mergeCell ref="B108:K108"/>
    <mergeCell ref="B128:C128"/>
    <mergeCell ref="E155:F155"/>
    <mergeCell ref="B126:K126"/>
    <mergeCell ref="F106:F107"/>
    <mergeCell ref="K106:K107"/>
    <mergeCell ref="B136:C136"/>
    <mergeCell ref="A143:D143"/>
  </mergeCells>
  <conditionalFormatting sqref="E311">
    <cfRule type="cellIs" dxfId="50" priority="2" stopIfTrue="1" operator="greaterThan">
      <formula>10</formula>
    </cfRule>
    <cfRule type="cellIs" dxfId="49" priority="3" stopIfTrue="1" operator="lessThan">
      <formula>10</formula>
    </cfRule>
    <cfRule type="cellIs" dxfId="48" priority="4" stopIfTrue="1" operator="lessThan">
      <formula>10</formula>
    </cfRule>
    <cfRule type="cellIs" dxfId="47" priority="5" stopIfTrue="1" operator="greaterThan">
      <formula>10</formula>
    </cfRule>
    <cfRule type="cellIs" dxfId="46" priority="6" stopIfTrue="1" operator="greaterThan">
      <formula>10</formula>
    </cfRule>
    <cfRule type="cellIs" dxfId="45" priority="7" stopIfTrue="1" operator="lessThan">
      <formula>10</formula>
    </cfRule>
    <cfRule type="cellIs" dxfId="44" priority="8" stopIfTrue="1" operator="greaterThan">
      <formula>10</formula>
    </cfRule>
    <cfRule type="cellIs" dxfId="43" priority="9" stopIfTrue="1" operator="between">
      <formula>10</formula>
      <formula>100</formula>
    </cfRule>
    <cfRule type="cellIs" dxfId="42" priority="10" stopIfTrue="1" operator="greaterThan">
      <formula>10</formula>
    </cfRule>
    <cfRule type="cellIs" dxfId="41" priority="11" stopIfTrue="1" operator="lessThan">
      <formula>10</formula>
    </cfRule>
    <cfRule type="cellIs" dxfId="40" priority="12" stopIfTrue="1" operator="greaterThan">
      <formula>10</formula>
    </cfRule>
    <cfRule type="cellIs" dxfId="39" priority="13" stopIfTrue="1" operator="lessThan">
      <formula>10</formula>
    </cfRule>
    <cfRule type="cellIs" dxfId="38" priority="14" stopIfTrue="1" operator="greaterThan">
      <formula>10</formula>
    </cfRule>
    <cfRule type="cellIs" dxfId="37" priority="15" stopIfTrue="1" operator="lessThan">
      <formula>10</formula>
    </cfRule>
    <cfRule type="cellIs" dxfId="36" priority="16" stopIfTrue="1" operator="greaterThan">
      <formula>10</formula>
    </cfRule>
    <cfRule type="cellIs" dxfId="35" priority="17" stopIfTrue="1" operator="lessThan">
      <formula>10</formula>
    </cfRule>
    <cfRule type="cellIs" dxfId="34" priority="18" stopIfTrue="1" operator="lessThan">
      <formula>10</formula>
    </cfRule>
    <cfRule type="cellIs" dxfId="33" priority="21" stopIfTrue="1" operator="lessThan">
      <formula>10</formula>
    </cfRule>
    <cfRule type="cellIs" dxfId="32" priority="22" stopIfTrue="1" operator="greaterThan">
      <formula>10</formula>
    </cfRule>
    <cfRule type="cellIs" dxfId="31" priority="23" stopIfTrue="1" operator="lessThan">
      <formula>10</formula>
    </cfRule>
    <cfRule type="cellIs" dxfId="30" priority="24" stopIfTrue="1" operator="greaterThan">
      <formula>10</formula>
    </cfRule>
    <cfRule type="cellIs" dxfId="29" priority="25" stopIfTrue="1" operator="greaterThan">
      <formula>10</formula>
    </cfRule>
    <cfRule type="cellIs" dxfId="28" priority="26" stopIfTrue="1" operator="greaterThan">
      <formula>10</formula>
    </cfRule>
    <cfRule type="cellIs" dxfId="27" priority="27" stopIfTrue="1" operator="between">
      <formula>0</formula>
      <formula>0</formula>
    </cfRule>
    <cfRule type="cellIs" dxfId="26" priority="28" stopIfTrue="1" operator="lessThan">
      <formula>10</formula>
    </cfRule>
    <cfRule type="cellIs" dxfId="25" priority="29" stopIfTrue="1" operator="lessThan">
      <formula>10</formula>
    </cfRule>
    <cfRule type="cellIs" dxfId="24" priority="30" stopIfTrue="1" operator="greaterThan">
      <formula>10</formula>
    </cfRule>
    <cfRule type="cellIs" dxfId="23" priority="31" stopIfTrue="1" operator="greaterThan">
      <formula>10</formula>
    </cfRule>
    <cfRule type="cellIs" dxfId="22" priority="32" stopIfTrue="1" operator="greaterThan">
      <formula>10</formula>
    </cfRule>
    <cfRule type="cellIs" dxfId="21" priority="33" stopIfTrue="1" operator="lessThan">
      <formula>10</formula>
    </cfRule>
    <cfRule type="cellIs" dxfId="20" priority="34" stopIfTrue="1" operator="lessThan">
      <formula>10</formula>
    </cfRule>
    <cfRule type="cellIs" dxfId="19" priority="36" stopIfTrue="1" operator="lessThan">
      <formula>10</formula>
    </cfRule>
    <cfRule type="cellIs" dxfId="18" priority="44" stopIfTrue="1" operator="lessThan">
      <formula>10</formula>
    </cfRule>
    <cfRule type="cellIs" dxfId="17" priority="45" stopIfTrue="1" operator="lessThan">
      <formula>10</formula>
    </cfRule>
    <cfRule type="cellIs" dxfId="16" priority="46" stopIfTrue="1" operator="greaterThan">
      <formula>10</formula>
    </cfRule>
    <cfRule type="cellIs" dxfId="15" priority="47" stopIfTrue="1" operator="greaterThan">
      <formula>10</formula>
    </cfRule>
    <cfRule type="cellIs" dxfId="14" priority="48" stopIfTrue="1" operator="between">
      <formula>10</formula>
      <formula>100</formula>
    </cfRule>
  </conditionalFormatting>
  <conditionalFormatting sqref="E312">
    <cfRule type="cellIs" dxfId="13" priority="35" stopIfTrue="1" operator="lessThan">
      <formula>1</formula>
    </cfRule>
    <cfRule type="cellIs" dxfId="12" priority="42" stopIfTrue="1" operator="greaterThan">
      <formula>1</formula>
    </cfRule>
    <cfRule type="cellIs" dxfId="11" priority="43" stopIfTrue="1" operator="lessThan">
      <formula>1</formula>
    </cfRule>
  </conditionalFormatting>
  <conditionalFormatting sqref="E313">
    <cfRule type="cellIs" dxfId="10" priority="37" stopIfTrue="1" operator="lessThan">
      <formula>$F$221</formula>
    </cfRule>
    <cfRule type="cellIs" dxfId="9" priority="38" stopIfTrue="1" operator="lessThan">
      <formula>4579</formula>
    </cfRule>
    <cfRule type="cellIs" dxfId="8" priority="39" stopIfTrue="1" operator="greaterThan">
      <formula>$F$221</formula>
    </cfRule>
    <cfRule type="cellIs" dxfId="7" priority="40" stopIfTrue="1" operator="greaterThan">
      <formula>4579</formula>
    </cfRule>
    <cfRule type="cellIs" dxfId="6" priority="41" stopIfTrue="1" operator="lessThan">
      <formula>$F$221</formula>
    </cfRule>
  </conditionalFormatting>
  <conditionalFormatting sqref="E314">
    <cfRule type="cellIs" dxfId="5" priority="19" stopIfTrue="1" operator="greaterThan">
      <formula>1</formula>
    </cfRule>
    <cfRule type="cellIs" dxfId="4" priority="20" stopIfTrue="1" operator="lessThan">
      <formula>1</formula>
    </cfRule>
  </conditionalFormatting>
  <conditionalFormatting sqref="D266:H266">
    <cfRule type="cellIs" dxfId="3" priority="1" stopIfTrue="1" operator="greaterThan">
      <formula>0</formula>
    </cfRule>
  </conditionalFormatting>
  <hyperlinks>
    <hyperlink ref="D35" r:id="rId2"/>
  </hyperlinks>
  <pageMargins left="0.47244094488188981" right="0.51181102362204722" top="0.51181102362204722" bottom="0.62992125984251968" header="0.31496062992125984" footer="0.31496062992125984"/>
  <pageSetup paperSize="9" scale="45" fitToWidth="0" orientation="portrait" r:id="rId3"/>
  <headerFooter alignWithMargins="0">
    <oddFooter>&amp;C&amp;"Arial Narrow,Negrita"&amp;9Pagina &amp;P de &amp;N</oddFooter>
  </headerFooter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30"/>
  <sheetViews>
    <sheetView zoomScale="90" zoomScaleNormal="90" workbookViewId="0">
      <selection activeCell="S5" sqref="S5:U5"/>
    </sheetView>
  </sheetViews>
  <sheetFormatPr defaultColWidth="11.42578125" defaultRowHeight="12" x14ac:dyDescent="0.2"/>
  <cols>
    <col min="1" max="1" width="2.7109375" style="266" customWidth="1"/>
    <col min="2" max="4" width="8.7109375" style="266" customWidth="1"/>
    <col min="5" max="5" width="2.7109375" style="266" customWidth="1"/>
    <col min="6" max="8" width="12.7109375" style="266" customWidth="1"/>
    <col min="9" max="9" width="2.7109375" style="266" customWidth="1"/>
    <col min="10" max="11" width="8.7109375" style="266" customWidth="1"/>
    <col min="12" max="12" width="2.7109375" style="266" customWidth="1"/>
    <col min="13" max="13" width="8.7109375" style="266" customWidth="1"/>
    <col min="14" max="14" width="2.7109375" style="266" customWidth="1"/>
    <col min="15" max="17" width="8.7109375" style="266" customWidth="1"/>
    <col min="18" max="18" width="2.7109375" style="266" customWidth="1"/>
    <col min="19" max="21" width="8.7109375" style="266" customWidth="1"/>
    <col min="22" max="22" width="2.7109375" style="266" customWidth="1"/>
    <col min="23" max="16384" width="11.42578125" style="266"/>
  </cols>
  <sheetData>
    <row r="1" spans="1:22" ht="25.5" customHeight="1" x14ac:dyDescent="0.2">
      <c r="A1" s="1281" t="s">
        <v>315</v>
      </c>
      <c r="B1" s="1282"/>
      <c r="C1" s="1282"/>
      <c r="D1" s="1282"/>
      <c r="E1" s="1282"/>
      <c r="F1" s="1282"/>
      <c r="G1" s="1282"/>
      <c r="H1" s="1282"/>
      <c r="I1" s="1283"/>
      <c r="J1" s="1242" t="s">
        <v>323</v>
      </c>
      <c r="K1" s="1242"/>
      <c r="L1" s="1242"/>
      <c r="M1" s="1284" t="str">
        <f>' Plan de Negocio'!D8</f>
        <v>Fortalecimiento de la cadena láctea en producción orgánica para la Cooperativa Agraria de Trabajadores 9 de Octubre La Pulpera.</v>
      </c>
      <c r="N1" s="1285"/>
      <c r="O1" s="1285"/>
      <c r="P1" s="1285"/>
      <c r="Q1" s="1285"/>
      <c r="R1" s="1285"/>
      <c r="S1" s="1285"/>
      <c r="T1" s="1285"/>
      <c r="U1" s="1285"/>
      <c r="V1" s="1286"/>
    </row>
    <row r="2" spans="1:22" ht="15" customHeight="1" x14ac:dyDescent="0.2">
      <c r="A2" s="610"/>
      <c r="B2" s="1243" t="s">
        <v>327</v>
      </c>
      <c r="C2" s="1244"/>
      <c r="D2" s="1245"/>
      <c r="E2" s="611"/>
      <c r="F2" s="1243" t="s">
        <v>316</v>
      </c>
      <c r="G2" s="1244"/>
      <c r="H2" s="1245"/>
      <c r="I2" s="611"/>
      <c r="J2" s="1243" t="s">
        <v>317</v>
      </c>
      <c r="K2" s="1244"/>
      <c r="L2" s="1244"/>
      <c r="M2" s="1244"/>
      <c r="N2" s="612"/>
      <c r="O2" s="1244" t="s">
        <v>318</v>
      </c>
      <c r="P2" s="1244"/>
      <c r="Q2" s="1245"/>
      <c r="R2" s="613"/>
      <c r="S2" s="1243" t="s">
        <v>319</v>
      </c>
      <c r="T2" s="1244"/>
      <c r="U2" s="1245"/>
      <c r="V2" s="610"/>
    </row>
    <row r="3" spans="1:22" ht="36" customHeight="1" x14ac:dyDescent="0.2">
      <c r="A3" s="610"/>
      <c r="B3" s="1287">
        <f>Carátula!D6</f>
        <v>0</v>
      </c>
      <c r="C3" s="1288"/>
      <c r="D3" s="1289"/>
      <c r="E3" s="286"/>
      <c r="F3" s="1246">
        <f>' Plan de Negocio'!D93</f>
        <v>0</v>
      </c>
      <c r="G3" s="1246"/>
      <c r="H3" s="1246"/>
      <c r="I3" s="286"/>
      <c r="J3" s="1287">
        <f>' Plan de Negocio'!A88</f>
        <v>0</v>
      </c>
      <c r="K3" s="1288"/>
      <c r="L3" s="1288"/>
      <c r="M3" s="1289"/>
      <c r="N3" s="289"/>
      <c r="O3" s="1308" t="str">
        <f>' Plan de Negocio'!A54</f>
        <v>Servicio que brinda al mercado (al comprador):</v>
      </c>
      <c r="P3" s="1309"/>
      <c r="Q3" s="1310"/>
      <c r="R3" s="286"/>
      <c r="S3" s="1296" t="str">
        <f>' Plan de Negocio'!A30</f>
        <v>Razón Social:</v>
      </c>
      <c r="T3" s="1297"/>
      <c r="U3" s="1298"/>
      <c r="V3" s="610"/>
    </row>
    <row r="4" spans="1:22" ht="36" customHeight="1" x14ac:dyDescent="0.2">
      <c r="A4" s="610"/>
      <c r="B4" s="1287" t="str">
        <f>Carátula!D15</f>
        <v>Sierra y Selva Exportadora</v>
      </c>
      <c r="C4" s="1288"/>
      <c r="D4" s="1289"/>
      <c r="E4" s="286"/>
      <c r="F4" s="1247" t="str">
        <f>' Plan de Negocio'!D94</f>
        <v>Capacitación y asistencia técnica para la implementación de un sistema de trazabilidad en la producción de quesos madurados orgánicos.</v>
      </c>
      <c r="G4" s="1248"/>
      <c r="H4" s="1249"/>
      <c r="I4" s="286"/>
      <c r="J4" s="1290"/>
      <c r="K4" s="1291"/>
      <c r="L4" s="1291"/>
      <c r="M4" s="1292"/>
      <c r="N4" s="289"/>
      <c r="O4" s="1250" t="str">
        <f>' Plan de Negocio'!D54</f>
        <v>Abastecimiento de quesos madurados de calidad</v>
      </c>
      <c r="P4" s="1251"/>
      <c r="Q4" s="1252"/>
      <c r="R4" s="286"/>
      <c r="S4" s="1299" t="str">
        <f>' Plan de Negocio'!D47</f>
        <v>Sociedad Gastronómica de Arequipa SAC</v>
      </c>
      <c r="T4" s="1300"/>
      <c r="U4" s="1301"/>
      <c r="V4" s="610"/>
    </row>
    <row r="5" spans="1:22" ht="18" customHeight="1" x14ac:dyDescent="0.2">
      <c r="A5" s="610"/>
      <c r="B5" s="1262"/>
      <c r="C5" s="1263"/>
      <c r="D5" s="1264"/>
      <c r="E5" s="286"/>
      <c r="F5" s="1246">
        <f>' Plan de Negocio'!D95</f>
        <v>0</v>
      </c>
      <c r="G5" s="1246"/>
      <c r="H5" s="1246"/>
      <c r="I5" s="286"/>
      <c r="J5" s="1290"/>
      <c r="K5" s="1291"/>
      <c r="L5" s="1291"/>
      <c r="M5" s="1292"/>
      <c r="N5" s="289"/>
      <c r="O5" s="1305"/>
      <c r="P5" s="1306"/>
      <c r="Q5" s="1306"/>
      <c r="R5" s="286"/>
      <c r="S5" s="1307" t="str">
        <f>' Plan de Negocio'!A46</f>
        <v>RUC:</v>
      </c>
      <c r="T5" s="1307"/>
      <c r="U5" s="1307"/>
      <c r="V5" s="610"/>
    </row>
    <row r="6" spans="1:22" ht="18" customHeight="1" x14ac:dyDescent="0.2">
      <c r="A6" s="610"/>
      <c r="B6" s="1265"/>
      <c r="C6" s="1266"/>
      <c r="D6" s="1267"/>
      <c r="E6" s="286"/>
      <c r="F6" s="1246">
        <f>' Plan de Negocio'!D96</f>
        <v>0</v>
      </c>
      <c r="G6" s="1246"/>
      <c r="H6" s="1246"/>
      <c r="I6" s="286"/>
      <c r="J6" s="1247"/>
      <c r="K6" s="1248"/>
      <c r="L6" s="1248"/>
      <c r="M6" s="1249"/>
      <c r="N6" s="289"/>
      <c r="O6" s="1305"/>
      <c r="P6" s="1306"/>
      <c r="Q6" s="1306"/>
      <c r="R6" s="286"/>
      <c r="S6" s="1302">
        <f>' Plan de Negocio'!D46</f>
        <v>20454823916</v>
      </c>
      <c r="T6" s="1303"/>
      <c r="U6" s="1304"/>
      <c r="V6" s="610"/>
    </row>
    <row r="7" spans="1:22" ht="18" customHeight="1" x14ac:dyDescent="0.2">
      <c r="A7" s="610"/>
      <c r="B7" s="1262"/>
      <c r="C7" s="1263"/>
      <c r="D7" s="1264"/>
      <c r="E7" s="286"/>
      <c r="F7" s="1246">
        <f>' Plan de Negocio'!D97</f>
        <v>0</v>
      </c>
      <c r="G7" s="1246"/>
      <c r="H7" s="1246"/>
      <c r="I7" s="286"/>
      <c r="J7" s="1262"/>
      <c r="K7" s="1263"/>
      <c r="L7" s="1263"/>
      <c r="M7" s="1264"/>
      <c r="N7" s="289"/>
      <c r="O7" s="1305"/>
      <c r="P7" s="1306"/>
      <c r="Q7" s="1306"/>
      <c r="R7" s="286"/>
      <c r="S7" s="1307" t="str">
        <f>' Plan de Negocio'!A50</f>
        <v>Persona de Contacto Comercial</v>
      </c>
      <c r="T7" s="1307"/>
      <c r="U7" s="1307"/>
      <c r="V7" s="610"/>
    </row>
    <row r="8" spans="1:22" ht="18" customHeight="1" x14ac:dyDescent="0.2">
      <c r="A8" s="610"/>
      <c r="B8" s="1265"/>
      <c r="C8" s="1266"/>
      <c r="D8" s="1267"/>
      <c r="E8" s="286"/>
      <c r="F8" s="1246">
        <f>' Plan de Negocio'!D98</f>
        <v>0</v>
      </c>
      <c r="G8" s="1246"/>
      <c r="H8" s="1246"/>
      <c r="I8" s="286"/>
      <c r="J8" s="1275"/>
      <c r="K8" s="1276"/>
      <c r="L8" s="1276"/>
      <c r="M8" s="1277"/>
      <c r="N8" s="289"/>
      <c r="O8" s="1305"/>
      <c r="P8" s="1306"/>
      <c r="Q8" s="1306"/>
      <c r="R8" s="286"/>
      <c r="S8" s="1302">
        <f>' Plan de Negocio'!D50</f>
        <v>0</v>
      </c>
      <c r="T8" s="1303"/>
      <c r="U8" s="1304"/>
      <c r="V8" s="610"/>
    </row>
    <row r="9" spans="1:22" ht="18" customHeight="1" x14ac:dyDescent="0.2">
      <c r="A9" s="610"/>
      <c r="B9" s="1262"/>
      <c r="C9" s="1263"/>
      <c r="D9" s="1264"/>
      <c r="E9" s="286"/>
      <c r="F9" s="1246">
        <f>' Plan de Negocio'!D99</f>
        <v>0</v>
      </c>
      <c r="G9" s="1246"/>
      <c r="H9" s="1246"/>
      <c r="I9" s="286"/>
      <c r="J9" s="1262"/>
      <c r="K9" s="1263"/>
      <c r="L9" s="1263"/>
      <c r="M9" s="1264"/>
      <c r="N9" s="289"/>
      <c r="O9" s="1317"/>
      <c r="P9" s="1317"/>
      <c r="Q9" s="1318"/>
      <c r="R9" s="286"/>
      <c r="S9" s="1307" t="str">
        <f>' Plan de Negocio'!A52</f>
        <v>Telefono:</v>
      </c>
      <c r="T9" s="1307"/>
      <c r="U9" s="1307"/>
      <c r="V9" s="610"/>
    </row>
    <row r="10" spans="1:22" ht="18" customHeight="1" x14ac:dyDescent="0.2">
      <c r="A10" s="610"/>
      <c r="B10" s="1265"/>
      <c r="C10" s="1266"/>
      <c r="D10" s="1267"/>
      <c r="E10" s="286"/>
      <c r="F10" s="1312"/>
      <c r="G10" s="1312"/>
      <c r="H10" s="1312"/>
      <c r="I10" s="286"/>
      <c r="J10" s="1275"/>
      <c r="K10" s="1276"/>
      <c r="L10" s="1276"/>
      <c r="M10" s="1277"/>
      <c r="N10" s="289"/>
      <c r="O10" s="1319"/>
      <c r="P10" s="1319"/>
      <c r="Q10" s="1320"/>
      <c r="R10" s="286"/>
      <c r="S10" s="1333">
        <f>' Plan de Negocio'!D52</f>
        <v>0</v>
      </c>
      <c r="T10" s="1333"/>
      <c r="U10" s="1333"/>
      <c r="V10" s="610"/>
    </row>
    <row r="11" spans="1:22" ht="18" customHeight="1" x14ac:dyDescent="0.2">
      <c r="A11" s="610"/>
      <c r="B11" s="1262"/>
      <c r="C11" s="1263"/>
      <c r="D11" s="1264"/>
      <c r="E11" s="286"/>
      <c r="F11" s="1253" t="s">
        <v>320</v>
      </c>
      <c r="G11" s="1254"/>
      <c r="H11" s="1255"/>
      <c r="I11" s="286"/>
      <c r="J11" s="1262"/>
      <c r="K11" s="1263"/>
      <c r="L11" s="1263"/>
      <c r="M11" s="1264"/>
      <c r="N11" s="289"/>
      <c r="O11" s="1260" t="s">
        <v>321</v>
      </c>
      <c r="P11" s="1260"/>
      <c r="Q11" s="1261"/>
      <c r="R11" s="286"/>
      <c r="S11" s="1269" t="str">
        <f>' Plan de Negocio'!A57</f>
        <v>2.3  Otros compradores.</v>
      </c>
      <c r="T11" s="1270"/>
      <c r="U11" s="1271"/>
      <c r="V11" s="610"/>
    </row>
    <row r="12" spans="1:22" ht="23.1" customHeight="1" x14ac:dyDescent="0.2">
      <c r="A12" s="610"/>
      <c r="B12" s="1265"/>
      <c r="C12" s="1266"/>
      <c r="D12" s="1267"/>
      <c r="E12" s="286"/>
      <c r="F12" s="1268" t="s">
        <v>78</v>
      </c>
      <c r="G12" s="1268"/>
      <c r="H12" s="581" t="s">
        <v>55</v>
      </c>
      <c r="I12" s="286"/>
      <c r="J12" s="1275"/>
      <c r="K12" s="1276"/>
      <c r="L12" s="1276"/>
      <c r="M12" s="1277"/>
      <c r="N12" s="289"/>
      <c r="O12" s="1321" t="str">
        <f>' Plan de Negocio'!A55</f>
        <v>Lugar donde vende el producto:</v>
      </c>
      <c r="P12" s="1322"/>
      <c r="Q12" s="1323"/>
      <c r="R12" s="286"/>
      <c r="S12" s="1272"/>
      <c r="T12" s="1273"/>
      <c r="U12" s="1274"/>
      <c r="V12" s="610"/>
    </row>
    <row r="13" spans="1:22" ht="23.1" customHeight="1" x14ac:dyDescent="0.2">
      <c r="A13" s="610"/>
      <c r="B13" s="1262"/>
      <c r="C13" s="1263"/>
      <c r="D13" s="1264"/>
      <c r="E13" s="286"/>
      <c r="F13" s="1278" t="s">
        <v>471</v>
      </c>
      <c r="G13" s="1278"/>
      <c r="H13" s="582">
        <f>Inversiones!E19</f>
        <v>1031125</v>
      </c>
      <c r="I13" s="286"/>
      <c r="J13" s="1262"/>
      <c r="K13" s="1263"/>
      <c r="L13" s="1263"/>
      <c r="M13" s="1264"/>
      <c r="N13" s="289"/>
      <c r="O13" s="1324"/>
      <c r="P13" s="1325"/>
      <c r="Q13" s="1326"/>
      <c r="R13" s="286"/>
      <c r="S13" s="1334">
        <f>' Plan de Negocio'!A59</f>
        <v>0</v>
      </c>
      <c r="T13" s="1334"/>
      <c r="U13" s="1334"/>
      <c r="V13" s="610"/>
    </row>
    <row r="14" spans="1:22" ht="23.1" customHeight="1" x14ac:dyDescent="0.2">
      <c r="A14" s="610"/>
      <c r="B14" s="1265"/>
      <c r="C14" s="1266"/>
      <c r="D14" s="1267"/>
      <c r="E14" s="286"/>
      <c r="F14" s="1279" t="s">
        <v>472</v>
      </c>
      <c r="G14" s="1280"/>
      <c r="H14" s="582">
        <f>Inversiones!E34/12</f>
        <v>2000</v>
      </c>
      <c r="I14" s="286"/>
      <c r="J14" s="1275"/>
      <c r="K14" s="1276"/>
      <c r="L14" s="1276"/>
      <c r="M14" s="1277"/>
      <c r="N14" s="289"/>
      <c r="O14" s="1327" t="str">
        <f>' Plan de Negocio'!D55</f>
        <v>En planta</v>
      </c>
      <c r="P14" s="1328"/>
      <c r="Q14" s="1329"/>
      <c r="R14" s="286"/>
      <c r="S14" s="1334" t="str">
        <f>' Plan de Negocio'!A74</f>
        <v>Yogurt orgánico</v>
      </c>
      <c r="T14" s="1334"/>
      <c r="U14" s="1334"/>
      <c r="V14" s="610"/>
    </row>
    <row r="15" spans="1:22" ht="23.1" customHeight="1" x14ac:dyDescent="0.2">
      <c r="A15" s="610"/>
      <c r="B15" s="1262"/>
      <c r="C15" s="1263"/>
      <c r="D15" s="1264"/>
      <c r="E15" s="286"/>
      <c r="F15" s="1278" t="s">
        <v>473</v>
      </c>
      <c r="G15" s="1278"/>
      <c r="H15" s="582">
        <f>Inversiones!E40</f>
        <v>9111.27</v>
      </c>
      <c r="I15" s="286"/>
      <c r="J15" s="1262"/>
      <c r="K15" s="1263"/>
      <c r="L15" s="1263"/>
      <c r="M15" s="1264"/>
      <c r="N15" s="289"/>
      <c r="O15" s="1330"/>
      <c r="P15" s="1331"/>
      <c r="Q15" s="1332"/>
      <c r="R15" s="286"/>
      <c r="S15" s="1335">
        <f>' Plan de Negocio'!A75</f>
        <v>0</v>
      </c>
      <c r="T15" s="1336"/>
      <c r="U15" s="1337"/>
      <c r="V15" s="610"/>
    </row>
    <row r="16" spans="1:22" ht="23.1" customHeight="1" x14ac:dyDescent="0.2">
      <c r="A16" s="610"/>
      <c r="B16" s="1265"/>
      <c r="C16" s="1266"/>
      <c r="D16" s="1267"/>
      <c r="E16" s="286"/>
      <c r="F16" s="1278" t="s">
        <v>469</v>
      </c>
      <c r="G16" s="1278"/>
      <c r="H16" s="582">
        <f>' Plan de Negocio'!G141</f>
        <v>0</v>
      </c>
      <c r="I16" s="286"/>
      <c r="J16" s="1275"/>
      <c r="K16" s="1276"/>
      <c r="L16" s="1276"/>
      <c r="M16" s="1277"/>
      <c r="N16" s="289"/>
      <c r="O16" s="1275"/>
      <c r="P16" s="1276"/>
      <c r="Q16" s="1277"/>
      <c r="R16" s="286"/>
      <c r="S16" s="1313"/>
      <c r="T16" s="1314"/>
      <c r="U16" s="1315"/>
      <c r="V16" s="610"/>
    </row>
    <row r="17" spans="1:22" ht="23.1" customHeight="1" x14ac:dyDescent="0.2">
      <c r="A17" s="610"/>
      <c r="B17" s="1262"/>
      <c r="C17" s="1263"/>
      <c r="D17" s="1264"/>
      <c r="E17" s="286"/>
      <c r="F17" s="1311" t="s">
        <v>41</v>
      </c>
      <c r="G17" s="1311"/>
      <c r="H17" s="583">
        <f>SUM(H13:H16)</f>
        <v>1042236.27</v>
      </c>
      <c r="I17" s="286"/>
      <c r="J17" s="1262"/>
      <c r="K17" s="1263"/>
      <c r="L17" s="1263"/>
      <c r="M17" s="1264"/>
      <c r="N17" s="289"/>
      <c r="O17" s="1265"/>
      <c r="P17" s="1266"/>
      <c r="Q17" s="1267"/>
      <c r="R17" s="286"/>
      <c r="S17" s="1313"/>
      <c r="T17" s="1314"/>
      <c r="U17" s="1315"/>
      <c r="V17" s="610"/>
    </row>
    <row r="18" spans="1:22" ht="23.1" customHeight="1" x14ac:dyDescent="0.2">
      <c r="A18" s="610"/>
      <c r="B18" s="1265"/>
      <c r="C18" s="1266"/>
      <c r="D18" s="1267"/>
      <c r="E18" s="286"/>
      <c r="F18" s="1246"/>
      <c r="G18" s="1246"/>
      <c r="H18" s="584"/>
      <c r="I18" s="286"/>
      <c r="J18" s="1275"/>
      <c r="K18" s="1276"/>
      <c r="L18" s="1276"/>
      <c r="M18" s="1277"/>
      <c r="N18" s="289"/>
      <c r="O18" s="1275"/>
      <c r="P18" s="1276"/>
      <c r="Q18" s="1277"/>
      <c r="R18" s="286"/>
      <c r="S18" s="1313"/>
      <c r="T18" s="1314"/>
      <c r="U18" s="1315"/>
      <c r="V18" s="610"/>
    </row>
    <row r="19" spans="1:22" ht="15" customHeight="1" x14ac:dyDescent="0.2">
      <c r="A19" s="610"/>
      <c r="B19" s="1256" t="s">
        <v>322</v>
      </c>
      <c r="C19" s="1257"/>
      <c r="D19" s="1257"/>
      <c r="E19" s="1257"/>
      <c r="F19" s="1257"/>
      <c r="G19" s="1257"/>
      <c r="H19" s="1257"/>
      <c r="I19" s="1257"/>
      <c r="J19" s="1257"/>
      <c r="K19" s="1258"/>
      <c r="L19" s="290"/>
      <c r="M19" s="1253" t="s">
        <v>328</v>
      </c>
      <c r="N19" s="1254"/>
      <c r="O19" s="1254"/>
      <c r="P19" s="1254"/>
      <c r="Q19" s="1254"/>
      <c r="R19" s="1254"/>
      <c r="S19" s="1254"/>
      <c r="T19" s="1254"/>
      <c r="U19" s="1255"/>
      <c r="V19" s="610"/>
    </row>
    <row r="20" spans="1:22" ht="20.100000000000001" customHeight="1" x14ac:dyDescent="0.2">
      <c r="A20" s="610"/>
      <c r="B20" s="1294" t="str">
        <f>' Plan de Negocio'!A239</f>
        <v>RUBRO</v>
      </c>
      <c r="C20" s="1295"/>
      <c r="D20" s="1295"/>
      <c r="E20" s="1295"/>
      <c r="F20" s="1295"/>
      <c r="G20" s="1295"/>
      <c r="H20" s="1236" t="s">
        <v>477</v>
      </c>
      <c r="I20" s="1236"/>
      <c r="J20" s="1236" t="s">
        <v>476</v>
      </c>
      <c r="K20" s="1236"/>
      <c r="L20" s="286"/>
      <c r="M20" s="1239" t="str">
        <f>Carátula!A51</f>
        <v xml:space="preserve">Punto de equilibrio </v>
      </c>
      <c r="N20" s="1240"/>
      <c r="O20" s="1240"/>
      <c r="P20" s="1241"/>
      <c r="Q20" s="585" t="e">
        <f>' Plan de Negocio'!E313</f>
        <v>#DIV/0!</v>
      </c>
      <c r="R20" s="287"/>
      <c r="S20" s="586">
        <f>'Costo de Producción propuesto'!C14</f>
        <v>0</v>
      </c>
      <c r="T20" s="287"/>
      <c r="U20" s="288"/>
      <c r="V20" s="610"/>
    </row>
    <row r="21" spans="1:22" ht="20.100000000000001" customHeight="1" x14ac:dyDescent="0.2">
      <c r="A21" s="610"/>
      <c r="B21" s="1228" t="str">
        <f>' Plan de Negocio'!A240</f>
        <v>1. Costos Variables (directos)</v>
      </c>
      <c r="C21" s="1229"/>
      <c r="D21" s="1229"/>
      <c r="E21" s="1229"/>
      <c r="F21" s="1229"/>
      <c r="G21" s="1230"/>
      <c r="H21" s="1237" t="e">
        <f>'Costo de Producción inicial'!F82/'Costo de Producción inicial'!F96</f>
        <v>#DIV/0!</v>
      </c>
      <c r="I21" s="1238"/>
      <c r="J21" s="1224" t="e">
        <f>' Plan de Negocio'!G240</f>
        <v>#DIV/0!</v>
      </c>
      <c r="K21" s="1224"/>
      <c r="L21" s="286"/>
      <c r="M21" s="587" t="str">
        <f>'Costo de Producción propuesto'!B115</f>
        <v>Precio Promedio Venta Unitario (S/.)</v>
      </c>
      <c r="N21" s="588"/>
      <c r="O21" s="588"/>
      <c r="P21" s="589"/>
      <c r="Q21" s="586">
        <f>'Costo de Producción propuesto'!F115</f>
        <v>0</v>
      </c>
      <c r="R21" s="287"/>
      <c r="S21" s="586">
        <f>S20</f>
        <v>0</v>
      </c>
      <c r="T21" s="287"/>
      <c r="U21" s="288"/>
      <c r="V21" s="610"/>
    </row>
    <row r="22" spans="1:22" ht="20.100000000000001" customHeight="1" x14ac:dyDescent="0.2">
      <c r="A22" s="610"/>
      <c r="B22" s="1239" t="str">
        <f>' Plan de Negocio'!A241</f>
        <v>1.1. Mano de obra directa (MOD)</v>
      </c>
      <c r="C22" s="1240"/>
      <c r="D22" s="1240"/>
      <c r="E22" s="1240"/>
      <c r="F22" s="1240"/>
      <c r="G22" s="1241"/>
      <c r="H22" s="1231" t="e">
        <f>'Costo de Producción inicial'!F18</f>
        <v>#DIV/0!</v>
      </c>
      <c r="I22" s="1232"/>
      <c r="J22" s="1259" t="e">
        <f>' Plan de Negocio'!G241</f>
        <v>#DIV/0!</v>
      </c>
      <c r="K22" s="1259"/>
      <c r="L22" s="286"/>
      <c r="M22" s="590"/>
      <c r="N22" s="287"/>
      <c r="O22" s="287"/>
      <c r="P22" s="287"/>
      <c r="Q22" s="287"/>
      <c r="R22" s="287"/>
      <c r="S22" s="287"/>
      <c r="T22" s="287"/>
      <c r="U22" s="288"/>
      <c r="V22" s="610"/>
    </row>
    <row r="23" spans="1:22" ht="20.100000000000001" customHeight="1" x14ac:dyDescent="0.2">
      <c r="A23" s="610"/>
      <c r="B23" s="1239" t="str">
        <f>' Plan de Negocio'!A242</f>
        <v>1.2. Total materia prima e Insumos (según unidad de medida)</v>
      </c>
      <c r="C23" s="1240"/>
      <c r="D23" s="1240"/>
      <c r="E23" s="1240"/>
      <c r="F23" s="1240"/>
      <c r="G23" s="1241"/>
      <c r="H23" s="1231" t="e">
        <f>'Costo de Producción inicial'!F19</f>
        <v>#DIV/0!</v>
      </c>
      <c r="I23" s="1232"/>
      <c r="J23" s="1259" t="e">
        <f>' Plan de Negocio'!G242</f>
        <v>#DIV/0!</v>
      </c>
      <c r="K23" s="1259"/>
      <c r="L23" s="286"/>
      <c r="M23" s="1228" t="s">
        <v>330</v>
      </c>
      <c r="N23" s="1229"/>
      <c r="O23" s="1229"/>
      <c r="P23" s="1229"/>
      <c r="Q23" s="1230"/>
      <c r="R23" s="1340" t="str">
        <f>' Plan de Negocio'!D20</f>
        <v>Queso maduro</v>
      </c>
      <c r="S23" s="1340"/>
      <c r="T23" s="1340"/>
      <c r="U23" s="1340"/>
      <c r="V23" s="610"/>
    </row>
    <row r="24" spans="1:22" ht="20.100000000000001" customHeight="1" x14ac:dyDescent="0.2">
      <c r="A24" s="610"/>
      <c r="B24" s="1239" t="str">
        <f>' Plan de Negocio'!A243</f>
        <v>1.3. Otros costos variables</v>
      </c>
      <c r="C24" s="1240"/>
      <c r="D24" s="1240"/>
      <c r="E24" s="1240"/>
      <c r="F24" s="1240"/>
      <c r="G24" s="1241"/>
      <c r="H24" s="1231" t="e">
        <f>'Costo de Producción inicial'!F20</f>
        <v>#DIV/0!</v>
      </c>
      <c r="I24" s="1232"/>
      <c r="J24" s="1259" t="e">
        <f>' Plan de Negocio'!G243</f>
        <v>#DIV/0!</v>
      </c>
      <c r="K24" s="1259"/>
      <c r="L24" s="286"/>
      <c r="M24" s="1228" t="s">
        <v>486</v>
      </c>
      <c r="N24" s="1229"/>
      <c r="O24" s="1229"/>
      <c r="P24" s="1229"/>
      <c r="Q24" s="1229"/>
      <c r="R24" s="1229"/>
      <c r="S24" s="1229"/>
      <c r="T24" s="1229"/>
      <c r="U24" s="1230"/>
      <c r="V24" s="610"/>
    </row>
    <row r="25" spans="1:22" ht="20.100000000000001" customHeight="1" x14ac:dyDescent="0.2">
      <c r="A25" s="610"/>
      <c r="B25" s="1228" t="str">
        <f>' Plan de Negocio'!A244</f>
        <v>2. Costos Fijos</v>
      </c>
      <c r="C25" s="1229"/>
      <c r="D25" s="1229"/>
      <c r="E25" s="1229"/>
      <c r="F25" s="1229"/>
      <c r="G25" s="1230"/>
      <c r="H25" s="1237" t="e">
        <f>SUM(H26:I28)</f>
        <v>#DIV/0!</v>
      </c>
      <c r="I25" s="1238"/>
      <c r="J25" s="1224" t="e">
        <f>' Plan de Negocio'!G244</f>
        <v>#DIV/0!</v>
      </c>
      <c r="K25" s="1224"/>
      <c r="L25" s="286"/>
      <c r="M25" s="1341" t="s">
        <v>474</v>
      </c>
      <c r="N25" s="1341"/>
      <c r="O25" s="1341"/>
      <c r="P25" s="1341"/>
      <c r="Q25" s="1341"/>
      <c r="R25" s="1338">
        <f>'Costo de Producción inicial'!F96</f>
        <v>0</v>
      </c>
      <c r="S25" s="1338"/>
      <c r="T25" s="1293">
        <f>'Costo de Producción propuesto'!E100</f>
        <v>0</v>
      </c>
      <c r="U25" s="1293"/>
      <c r="V25" s="610"/>
    </row>
    <row r="26" spans="1:22" ht="20.100000000000001" customHeight="1" x14ac:dyDescent="0.2">
      <c r="A26" s="610"/>
      <c r="B26" s="1239" t="str">
        <f>' Plan de Negocio'!A245</f>
        <v>2.1. Costo Financiero/Depreciación/Certificación (10% CD)</v>
      </c>
      <c r="C26" s="1240"/>
      <c r="D26" s="1240"/>
      <c r="E26" s="1240"/>
      <c r="F26" s="1240"/>
      <c r="G26" s="1241"/>
      <c r="H26" s="1231" t="e">
        <f>'Costo de Producción inicial'!F85/'Costo de Producción inicial'!F96</f>
        <v>#DIV/0!</v>
      </c>
      <c r="I26" s="1232"/>
      <c r="J26" s="1259" t="e">
        <f>' Plan de Negocio'!G245</f>
        <v>#DIV/0!</v>
      </c>
      <c r="K26" s="1259"/>
      <c r="L26" s="286"/>
      <c r="M26" s="1341" t="s">
        <v>475</v>
      </c>
      <c r="N26" s="1341"/>
      <c r="O26" s="1341"/>
      <c r="P26" s="1341"/>
      <c r="Q26" s="1341"/>
      <c r="R26" s="1338">
        <f>'Costo de Producción propuesto'!F100</f>
        <v>0</v>
      </c>
      <c r="S26" s="1338"/>
      <c r="T26" s="1293">
        <f>T25</f>
        <v>0</v>
      </c>
      <c r="U26" s="1293"/>
      <c r="V26" s="610"/>
    </row>
    <row r="27" spans="1:22" ht="20.100000000000001" customHeight="1" x14ac:dyDescent="0.2">
      <c r="A27" s="610"/>
      <c r="B27" s="1239" t="str">
        <f>' Plan de Negocio'!A246</f>
        <v>2.2. Costo Administrativo (3% CV)</v>
      </c>
      <c r="C27" s="1240"/>
      <c r="D27" s="1240"/>
      <c r="E27" s="1240"/>
      <c r="F27" s="1240"/>
      <c r="G27" s="1241"/>
      <c r="H27" s="1231" t="e">
        <f>'Costo de Producción inicial'!F86/'Costo de Producción inicial'!F96</f>
        <v>#DIV/0!</v>
      </c>
      <c r="I27" s="1232"/>
      <c r="J27" s="1259" t="e">
        <f>' Plan de Negocio'!G246</f>
        <v>#DIV/0!</v>
      </c>
      <c r="K27" s="1259"/>
      <c r="L27" s="286"/>
      <c r="M27" s="1225" t="s">
        <v>484</v>
      </c>
      <c r="N27" s="1226"/>
      <c r="O27" s="1226"/>
      <c r="P27" s="1226"/>
      <c r="Q27" s="1227"/>
      <c r="R27" s="1316" t="e">
        <f>(R26-R25)/R25</f>
        <v>#DIV/0!</v>
      </c>
      <c r="S27" s="1316"/>
      <c r="T27" s="1293"/>
      <c r="U27" s="1293"/>
      <c r="V27" s="610"/>
    </row>
    <row r="28" spans="1:22" ht="20.100000000000001" customHeight="1" x14ac:dyDescent="0.2">
      <c r="A28" s="610"/>
      <c r="B28" s="1239" t="str">
        <f>' Plan de Negocio'!A247</f>
        <v>2.3 Costo Ventas y distribución (2% CV)</v>
      </c>
      <c r="C28" s="1240"/>
      <c r="D28" s="1240"/>
      <c r="E28" s="1240"/>
      <c r="F28" s="1240"/>
      <c r="G28" s="1241"/>
      <c r="H28" s="1231" t="e">
        <f>'Costo de Producción inicial'!F87/'Costo de Producción inicial'!F96</f>
        <v>#DIV/0!</v>
      </c>
      <c r="I28" s="1232"/>
      <c r="J28" s="1259" t="e">
        <f>' Plan de Negocio'!G247</f>
        <v>#DIV/0!</v>
      </c>
      <c r="K28" s="1259"/>
      <c r="L28" s="286"/>
      <c r="M28" s="1233" t="s">
        <v>485</v>
      </c>
      <c r="N28" s="1234"/>
      <c r="O28" s="1234"/>
      <c r="P28" s="1234"/>
      <c r="Q28" s="1235"/>
      <c r="R28" s="1339" t="e">
        <f>(Carátula!J36-Carátula!H36)/Carátula!H36</f>
        <v>#DIV/0!</v>
      </c>
      <c r="S28" s="1339"/>
      <c r="T28" s="593"/>
      <c r="U28" s="594"/>
      <c r="V28" s="610"/>
    </row>
    <row r="29" spans="1:22" ht="20.100000000000001" customHeight="1" x14ac:dyDescent="0.2">
      <c r="A29" s="610"/>
      <c r="B29" s="1228" t="str">
        <f>' Plan de Negocio'!A248</f>
        <v xml:space="preserve">Total </v>
      </c>
      <c r="C29" s="1229"/>
      <c r="D29" s="1229"/>
      <c r="E29" s="1229"/>
      <c r="F29" s="1229"/>
      <c r="G29" s="1230"/>
      <c r="H29" s="1237" t="e">
        <f>H21+H25</f>
        <v>#DIV/0!</v>
      </c>
      <c r="I29" s="1238"/>
      <c r="J29" s="1224" t="e">
        <f>' Plan de Negocio'!G248</f>
        <v>#DIV/0!</v>
      </c>
      <c r="K29" s="1224"/>
      <c r="L29" s="286"/>
      <c r="M29" s="606"/>
      <c r="N29" s="607"/>
      <c r="O29" s="608"/>
      <c r="P29" s="608"/>
      <c r="Q29" s="608"/>
      <c r="R29" s="608"/>
      <c r="S29" s="608"/>
      <c r="T29" s="608"/>
      <c r="U29" s="609"/>
      <c r="V29" s="610"/>
    </row>
    <row r="30" spans="1:22" ht="15" customHeight="1" x14ac:dyDescent="0.2">
      <c r="A30" s="610"/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</row>
  </sheetData>
  <sheetProtection algorithmName="SHA-512" hashValue="lXkxTD0C8VxrUOZ1dQ7zFvvg/i+uhXPhAOm/5K998VWcoyiHLA+gAQM1ZuiU+fxcxmGbJulyyg3yWYr/UJmcww==" saltValue="pKFpOF37wZSLgywszf2tSw==" spinCount="100000" sheet="1" objects="1" scenarios="1" formatRows="0"/>
  <customSheetViews>
    <customSheetView guid="{2A80C2AF-315E-48B4-AB4B-22B0028E8CB4}" scale="90">
      <selection activeCell="J3" sqref="J3:M6"/>
      <pageMargins left="0.7" right="0.7" top="0.75" bottom="0.75" header="0.3" footer="0.3"/>
      <pageSetup paperSize="9" scale="80" orientation="landscape" r:id="rId1"/>
    </customSheetView>
  </customSheetViews>
  <mergeCells count="112">
    <mergeCell ref="R28:S28"/>
    <mergeCell ref="M23:Q23"/>
    <mergeCell ref="R23:U23"/>
    <mergeCell ref="M24:U24"/>
    <mergeCell ref="J22:K22"/>
    <mergeCell ref="J23:K23"/>
    <mergeCell ref="J24:K24"/>
    <mergeCell ref="J25:K25"/>
    <mergeCell ref="J26:K26"/>
    <mergeCell ref="J27:K27"/>
    <mergeCell ref="M25:Q25"/>
    <mergeCell ref="M26:Q26"/>
    <mergeCell ref="R27:S27"/>
    <mergeCell ref="T27:U27"/>
    <mergeCell ref="S8:U8"/>
    <mergeCell ref="O9:Q10"/>
    <mergeCell ref="O7:Q8"/>
    <mergeCell ref="O12:Q13"/>
    <mergeCell ref="O14:Q15"/>
    <mergeCell ref="O16:Q17"/>
    <mergeCell ref="S17:U17"/>
    <mergeCell ref="S10:U10"/>
    <mergeCell ref="S13:U13"/>
    <mergeCell ref="S14:U14"/>
    <mergeCell ref="S15:U15"/>
    <mergeCell ref="S7:U7"/>
    <mergeCell ref="S9:U9"/>
    <mergeCell ref="O18:Q18"/>
    <mergeCell ref="S18:U18"/>
    <mergeCell ref="R25:S25"/>
    <mergeCell ref="R26:S26"/>
    <mergeCell ref="T26:U26"/>
    <mergeCell ref="B20:G20"/>
    <mergeCell ref="B21:G21"/>
    <mergeCell ref="B22:G22"/>
    <mergeCell ref="B23:G23"/>
    <mergeCell ref="B15:D16"/>
    <mergeCell ref="B17:D18"/>
    <mergeCell ref="S3:U3"/>
    <mergeCell ref="S4:U4"/>
    <mergeCell ref="B5:D6"/>
    <mergeCell ref="S6:U6"/>
    <mergeCell ref="O5:Q6"/>
    <mergeCell ref="S5:U5"/>
    <mergeCell ref="B3:D3"/>
    <mergeCell ref="B4:D4"/>
    <mergeCell ref="O3:Q3"/>
    <mergeCell ref="F17:G17"/>
    <mergeCell ref="F10:H10"/>
    <mergeCell ref="J7:M8"/>
    <mergeCell ref="S16:U16"/>
    <mergeCell ref="F11:H11"/>
    <mergeCell ref="M19:U19"/>
    <mergeCell ref="B19:K19"/>
    <mergeCell ref="J20:K20"/>
    <mergeCell ref="J21:K21"/>
    <mergeCell ref="J28:K28"/>
    <mergeCell ref="O11:Q11"/>
    <mergeCell ref="B24:G24"/>
    <mergeCell ref="B25:G25"/>
    <mergeCell ref="B26:G26"/>
    <mergeCell ref="B11:D12"/>
    <mergeCell ref="B13:D14"/>
    <mergeCell ref="F18:G18"/>
    <mergeCell ref="F12:G12"/>
    <mergeCell ref="S11:U12"/>
    <mergeCell ref="M20:P20"/>
    <mergeCell ref="J13:M14"/>
    <mergeCell ref="J15:M16"/>
    <mergeCell ref="J17:M18"/>
    <mergeCell ref="F13:G13"/>
    <mergeCell ref="F14:G14"/>
    <mergeCell ref="F15:G15"/>
    <mergeCell ref="F16:G16"/>
    <mergeCell ref="J11:M12"/>
    <mergeCell ref="T25:U25"/>
    <mergeCell ref="J1:L1"/>
    <mergeCell ref="B2:D2"/>
    <mergeCell ref="F2:H2"/>
    <mergeCell ref="F3:H3"/>
    <mergeCell ref="F4:H4"/>
    <mergeCell ref="J2:M2"/>
    <mergeCell ref="O2:Q2"/>
    <mergeCell ref="S2:U2"/>
    <mergeCell ref="F9:H9"/>
    <mergeCell ref="F5:H5"/>
    <mergeCell ref="F6:H6"/>
    <mergeCell ref="F7:H7"/>
    <mergeCell ref="O4:Q4"/>
    <mergeCell ref="F8:H8"/>
    <mergeCell ref="A1:I1"/>
    <mergeCell ref="M1:V1"/>
    <mergeCell ref="J3:M6"/>
    <mergeCell ref="B9:D10"/>
    <mergeCell ref="J9:M10"/>
    <mergeCell ref="B7:D8"/>
    <mergeCell ref="J29:K29"/>
    <mergeCell ref="M27:Q27"/>
    <mergeCell ref="B29:G29"/>
    <mergeCell ref="H26:I26"/>
    <mergeCell ref="M28:Q28"/>
    <mergeCell ref="H27:I27"/>
    <mergeCell ref="H28:I28"/>
    <mergeCell ref="H20:I20"/>
    <mergeCell ref="H21:I21"/>
    <mergeCell ref="H22:I22"/>
    <mergeCell ref="H23:I23"/>
    <mergeCell ref="H24:I24"/>
    <mergeCell ref="H25:I25"/>
    <mergeCell ref="H29:I29"/>
    <mergeCell ref="B28:G28"/>
    <mergeCell ref="B27:G27"/>
  </mergeCells>
  <conditionalFormatting sqref="R27:S28">
    <cfRule type="cellIs" dxfId="2" priority="3" operator="greaterThan">
      <formula>0</formula>
    </cfRule>
  </conditionalFormatting>
  <conditionalFormatting sqref="J29:K29">
    <cfRule type="cellIs" dxfId="1" priority="1" operator="lessThan">
      <formula>$H$29</formula>
    </cfRule>
  </conditionalFormatting>
  <pageMargins left="0.7" right="0.7" top="0.75" bottom="0.75" header="0.3" footer="0.3"/>
  <pageSetup paperSize="9" scale="8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69"/>
  <sheetViews>
    <sheetView workbookViewId="0">
      <selection sqref="A1:G1"/>
    </sheetView>
  </sheetViews>
  <sheetFormatPr defaultColWidth="11.42578125" defaultRowHeight="15" x14ac:dyDescent="0.25"/>
  <cols>
    <col min="1" max="1" width="17.140625" customWidth="1"/>
  </cols>
  <sheetData>
    <row r="1" spans="1:7" x14ac:dyDescent="0.25">
      <c r="A1" s="810" t="s">
        <v>480</v>
      </c>
      <c r="B1" s="810"/>
      <c r="C1" s="810"/>
      <c r="D1" s="810"/>
      <c r="E1" s="810"/>
      <c r="F1" s="810"/>
      <c r="G1" s="810"/>
    </row>
    <row r="2" spans="1:7" ht="9" customHeight="1" x14ac:dyDescent="0.25"/>
    <row r="3" spans="1:7" ht="9" customHeight="1" thickBot="1" x14ac:dyDescent="0.3"/>
    <row r="4" spans="1:7" ht="18" customHeight="1" thickBot="1" x14ac:dyDescent="0.3">
      <c r="A4" s="1348" t="s">
        <v>408</v>
      </c>
      <c r="B4" s="1349"/>
      <c r="C4" s="1349"/>
      <c r="D4" s="1349"/>
      <c r="E4" s="1349"/>
      <c r="F4" s="1349"/>
      <c r="G4" s="1350"/>
    </row>
    <row r="5" spans="1:7" ht="25.5" customHeight="1" thickBot="1" x14ac:dyDescent="0.3">
      <c r="A5" s="1344" t="s">
        <v>337</v>
      </c>
      <c r="B5" s="1345"/>
      <c r="C5" s="1342" t="s">
        <v>338</v>
      </c>
      <c r="D5" s="1343"/>
      <c r="E5" s="1344"/>
      <c r="F5" s="1345"/>
      <c r="G5" s="561"/>
    </row>
    <row r="6" spans="1:7" ht="15.75" thickBot="1" x14ac:dyDescent="0.3">
      <c r="A6" s="1344" t="s">
        <v>339</v>
      </c>
      <c r="B6" s="1345"/>
      <c r="C6" s="1342">
        <v>6</v>
      </c>
      <c r="D6" s="1343"/>
      <c r="E6" s="1344" t="s">
        <v>340</v>
      </c>
      <c r="F6" s="1345"/>
      <c r="G6" s="562">
        <v>4</v>
      </c>
    </row>
    <row r="7" spans="1:7" ht="18" customHeight="1" thickBot="1" x14ac:dyDescent="0.3">
      <c r="A7" s="1348" t="s">
        <v>341</v>
      </c>
      <c r="B7" s="1349"/>
      <c r="C7" s="1349"/>
      <c r="D7" s="1349"/>
      <c r="E7" s="1349"/>
      <c r="F7" s="1349"/>
      <c r="G7" s="1350"/>
    </row>
    <row r="8" spans="1:7" ht="26.25" thickBot="1" x14ac:dyDescent="0.3">
      <c r="A8" s="1344" t="s">
        <v>342</v>
      </c>
      <c r="B8" s="1345"/>
      <c r="C8" s="1342" t="s">
        <v>343</v>
      </c>
      <c r="D8" s="1343"/>
      <c r="E8" s="1344" t="s">
        <v>344</v>
      </c>
      <c r="F8" s="1345"/>
      <c r="G8" s="562" t="s">
        <v>345</v>
      </c>
    </row>
    <row r="9" spans="1:7" x14ac:dyDescent="0.25">
      <c r="A9" s="1356" t="s">
        <v>346</v>
      </c>
      <c r="B9" s="1357"/>
      <c r="C9" s="1362" t="s">
        <v>343</v>
      </c>
      <c r="D9" s="1363"/>
      <c r="E9" s="1356" t="s">
        <v>347</v>
      </c>
      <c r="F9" s="1357"/>
      <c r="G9" s="1368" t="s">
        <v>348</v>
      </c>
    </row>
    <row r="10" spans="1:7" x14ac:dyDescent="0.25">
      <c r="A10" s="1358"/>
      <c r="B10" s="1359"/>
      <c r="C10" s="1364"/>
      <c r="D10" s="1365"/>
      <c r="E10" s="1358"/>
      <c r="F10" s="1359"/>
      <c r="G10" s="1369"/>
    </row>
    <row r="11" spans="1:7" ht="15.75" thickBot="1" x14ac:dyDescent="0.3">
      <c r="A11" s="1360"/>
      <c r="B11" s="1361"/>
      <c r="C11" s="1366"/>
      <c r="D11" s="1367"/>
      <c r="E11" s="1360"/>
      <c r="F11" s="1361"/>
      <c r="G11" s="1370"/>
    </row>
    <row r="12" spans="1:7" ht="18" customHeight="1" thickBot="1" x14ac:dyDescent="0.3">
      <c r="A12" s="1348" t="s">
        <v>349</v>
      </c>
      <c r="B12" s="1349"/>
      <c r="C12" s="1349"/>
      <c r="D12" s="1349"/>
      <c r="E12" s="1349"/>
      <c r="F12" s="1349"/>
      <c r="G12" s="1350"/>
    </row>
    <row r="13" spans="1:7" ht="15.75" thickBot="1" x14ac:dyDescent="0.3">
      <c r="A13" s="1344" t="s">
        <v>350</v>
      </c>
      <c r="B13" s="1345"/>
      <c r="C13" s="1342" t="s">
        <v>112</v>
      </c>
      <c r="D13" s="1343"/>
      <c r="E13" s="1344" t="s">
        <v>351</v>
      </c>
      <c r="F13" s="1345"/>
      <c r="G13" s="562" t="s">
        <v>111</v>
      </c>
    </row>
    <row r="14" spans="1:7" ht="18" customHeight="1" thickBot="1" x14ac:dyDescent="0.3">
      <c r="A14" s="1348" t="s">
        <v>188</v>
      </c>
      <c r="B14" s="1349"/>
      <c r="C14" s="1349"/>
      <c r="D14" s="1349"/>
      <c r="E14" s="1349"/>
      <c r="F14" s="1349"/>
      <c r="G14" s="1350"/>
    </row>
    <row r="15" spans="1:7" ht="15.75" thickBot="1" x14ac:dyDescent="0.3">
      <c r="A15" s="1344" t="s">
        <v>410</v>
      </c>
      <c r="B15" s="1345"/>
      <c r="C15" s="1342" t="s">
        <v>112</v>
      </c>
      <c r="D15" s="1343"/>
      <c r="E15" s="1344" t="s">
        <v>352</v>
      </c>
      <c r="F15" s="1345"/>
      <c r="G15" s="562" t="s">
        <v>111</v>
      </c>
    </row>
    <row r="16" spans="1:7" ht="15.75" thickBot="1" x14ac:dyDescent="0.3">
      <c r="A16" s="1344" t="s">
        <v>353</v>
      </c>
      <c r="B16" s="1345"/>
      <c r="C16" s="1342" t="s">
        <v>354</v>
      </c>
      <c r="D16" s="1343"/>
      <c r="E16" s="1344" t="s">
        <v>355</v>
      </c>
      <c r="F16" s="1345"/>
      <c r="G16" s="562" t="s">
        <v>111</v>
      </c>
    </row>
    <row r="17" spans="1:7" ht="18" customHeight="1" thickBot="1" x14ac:dyDescent="0.3">
      <c r="A17" s="1348" t="s">
        <v>356</v>
      </c>
      <c r="B17" s="1349"/>
      <c r="C17" s="1349"/>
      <c r="D17" s="1349"/>
      <c r="E17" s="1349"/>
      <c r="F17" s="1350"/>
      <c r="G17" s="563" t="s">
        <v>357</v>
      </c>
    </row>
    <row r="18" spans="1:7" ht="15.75" thickBot="1" x14ac:dyDescent="0.3">
      <c r="A18" s="1351" t="s">
        <v>358</v>
      </c>
      <c r="B18" s="1352"/>
      <c r="C18" s="1352"/>
      <c r="D18" s="1352"/>
      <c r="E18" s="1352"/>
      <c r="F18" s="1353"/>
      <c r="G18" s="564"/>
    </row>
    <row r="19" spans="1:7" ht="15.75" thickBot="1" x14ac:dyDescent="0.3">
      <c r="A19" s="1351" t="s">
        <v>359</v>
      </c>
      <c r="B19" s="1352"/>
      <c r="C19" s="1352"/>
      <c r="D19" s="1352"/>
      <c r="E19" s="1352"/>
      <c r="F19" s="1353"/>
      <c r="G19" s="564">
        <f>G20+G21</f>
        <v>0</v>
      </c>
    </row>
    <row r="20" spans="1:7" ht="15.75" thickBot="1" x14ac:dyDescent="0.3">
      <c r="A20" s="1376" t="s">
        <v>360</v>
      </c>
      <c r="B20" s="1377"/>
      <c r="C20" s="1377"/>
      <c r="D20" s="1377"/>
      <c r="E20" s="1377"/>
      <c r="F20" s="1378"/>
      <c r="G20" s="562"/>
    </row>
    <row r="21" spans="1:7" ht="15.75" thickBot="1" x14ac:dyDescent="0.3">
      <c r="A21" s="1376" t="s">
        <v>361</v>
      </c>
      <c r="B21" s="1377"/>
      <c r="C21" s="1377"/>
      <c r="D21" s="1377"/>
      <c r="E21" s="1377"/>
      <c r="F21" s="1378"/>
      <c r="G21" s="665"/>
    </row>
    <row r="22" spans="1:7" ht="15.75" thickBot="1" x14ac:dyDescent="0.3">
      <c r="A22" s="1351" t="s">
        <v>362</v>
      </c>
      <c r="B22" s="1352"/>
      <c r="C22" s="1352"/>
      <c r="D22" s="1352"/>
      <c r="E22" s="1352"/>
      <c r="F22" s="1353"/>
      <c r="G22" s="564">
        <f>G23+G24</f>
        <v>0.5</v>
      </c>
    </row>
    <row r="23" spans="1:7" ht="15.75" thickBot="1" x14ac:dyDescent="0.3">
      <c r="A23" s="1376" t="s">
        <v>363</v>
      </c>
      <c r="B23" s="1377"/>
      <c r="C23" s="1377"/>
      <c r="D23" s="1377"/>
      <c r="E23" s="1377"/>
      <c r="F23" s="1378"/>
      <c r="G23" s="562"/>
    </row>
    <row r="24" spans="1:7" ht="15.75" thickBot="1" x14ac:dyDescent="0.3">
      <c r="A24" s="1376" t="s">
        <v>364</v>
      </c>
      <c r="B24" s="1377"/>
      <c r="C24" s="1377"/>
      <c r="D24" s="1377"/>
      <c r="E24" s="1377"/>
      <c r="F24" s="1378"/>
      <c r="G24" s="562">
        <v>0.5</v>
      </c>
    </row>
    <row r="25" spans="1:7" ht="15.75" thickBot="1" x14ac:dyDescent="0.3">
      <c r="A25" s="1351" t="s">
        <v>365</v>
      </c>
      <c r="B25" s="1352"/>
      <c r="C25" s="1352"/>
      <c r="D25" s="1352"/>
      <c r="E25" s="1352"/>
      <c r="F25" s="1353"/>
      <c r="G25" s="564"/>
    </row>
    <row r="26" spans="1:7" ht="15.75" thickBot="1" x14ac:dyDescent="0.3">
      <c r="A26" s="1351" t="s">
        <v>41</v>
      </c>
      <c r="B26" s="1352"/>
      <c r="C26" s="1352"/>
      <c r="D26" s="1352"/>
      <c r="E26" s="1352"/>
      <c r="F26" s="1353"/>
      <c r="G26" s="564">
        <f>G19+G22+G25</f>
        <v>0.5</v>
      </c>
    </row>
    <row r="27" spans="1:7" ht="18" customHeight="1" thickBot="1" x14ac:dyDescent="0.3">
      <c r="A27" s="565" t="s">
        <v>366</v>
      </c>
      <c r="B27" s="1348" t="s">
        <v>357</v>
      </c>
      <c r="C27" s="1350"/>
      <c r="D27" s="1348" t="s">
        <v>412</v>
      </c>
      <c r="E27" s="1350"/>
      <c r="F27" s="1348" t="s">
        <v>367</v>
      </c>
      <c r="G27" s="1350"/>
    </row>
    <row r="28" spans="1:7" ht="15.75" thickBot="1" x14ac:dyDescent="0.3">
      <c r="A28" s="566" t="s">
        <v>368</v>
      </c>
      <c r="B28" s="1354">
        <f>SUM(B29:C32)</f>
        <v>0.5</v>
      </c>
      <c r="C28" s="1355"/>
      <c r="D28" s="1354"/>
      <c r="E28" s="1355"/>
      <c r="F28" s="1354"/>
      <c r="G28" s="1355"/>
    </row>
    <row r="29" spans="1:7" ht="26.25" thickBot="1" x14ac:dyDescent="0.3">
      <c r="A29" s="614" t="s">
        <v>369</v>
      </c>
      <c r="B29" s="1375">
        <v>0.5</v>
      </c>
      <c r="C29" s="1375"/>
      <c r="D29" s="1375">
        <v>500</v>
      </c>
      <c r="E29" s="1375"/>
      <c r="F29" s="1379"/>
      <c r="G29" s="1379"/>
    </row>
    <row r="30" spans="1:7" ht="15.75" thickBot="1" x14ac:dyDescent="0.3">
      <c r="A30" s="614"/>
      <c r="B30" s="1375"/>
      <c r="C30" s="1375"/>
      <c r="D30" s="1375"/>
      <c r="E30" s="1375"/>
      <c r="F30" s="1387"/>
      <c r="G30" s="1387"/>
    </row>
    <row r="31" spans="1:7" ht="15.75" thickBot="1" x14ac:dyDescent="0.3">
      <c r="A31" s="614"/>
      <c r="B31" s="1375"/>
      <c r="C31" s="1375"/>
      <c r="D31" s="1375"/>
      <c r="E31" s="1375"/>
      <c r="F31" s="1387"/>
      <c r="G31" s="1387"/>
    </row>
    <row r="32" spans="1:7" ht="15.75" thickBot="1" x14ac:dyDescent="0.3">
      <c r="A32" s="614"/>
      <c r="B32" s="1375"/>
      <c r="C32" s="1375"/>
      <c r="D32" s="1375"/>
      <c r="E32" s="1375"/>
      <c r="F32" s="1387"/>
      <c r="G32" s="1387"/>
    </row>
    <row r="33" spans="1:8" ht="15.75" thickBot="1" x14ac:dyDescent="0.3">
      <c r="A33" s="566" t="s">
        <v>370</v>
      </c>
      <c r="B33" s="1354">
        <f>SUM(B34:C37)</f>
        <v>1</v>
      </c>
      <c r="C33" s="1355"/>
      <c r="D33" s="1354"/>
      <c r="E33" s="1355"/>
      <c r="F33" s="1354"/>
      <c r="G33" s="1355"/>
    </row>
    <row r="34" spans="1:8" ht="15.75" thickBot="1" x14ac:dyDescent="0.3">
      <c r="A34" s="615" t="s">
        <v>371</v>
      </c>
      <c r="B34" s="1342">
        <v>1</v>
      </c>
      <c r="C34" s="1343"/>
      <c r="D34" s="1342">
        <v>800</v>
      </c>
      <c r="E34" s="1343"/>
      <c r="F34" s="1373">
        <v>0.6</v>
      </c>
      <c r="G34" s="1374"/>
    </row>
    <row r="35" spans="1:8" ht="15.75" thickBot="1" x14ac:dyDescent="0.3">
      <c r="A35" s="615"/>
      <c r="B35" s="1342"/>
      <c r="C35" s="1343"/>
      <c r="D35" s="1342"/>
      <c r="E35" s="1343"/>
      <c r="F35" s="1373"/>
      <c r="G35" s="1374"/>
    </row>
    <row r="36" spans="1:8" ht="15.75" thickBot="1" x14ac:dyDescent="0.3">
      <c r="A36" s="615"/>
      <c r="B36" s="1342"/>
      <c r="C36" s="1343"/>
      <c r="D36" s="1342"/>
      <c r="E36" s="1343"/>
      <c r="F36" s="1373"/>
      <c r="G36" s="1374"/>
    </row>
    <row r="37" spans="1:8" ht="15.75" thickBot="1" x14ac:dyDescent="0.3">
      <c r="A37" s="615"/>
      <c r="B37" s="1342"/>
      <c r="C37" s="1343"/>
      <c r="D37" s="1342"/>
      <c r="E37" s="1343"/>
      <c r="F37" s="1373"/>
      <c r="G37" s="1374"/>
    </row>
    <row r="38" spans="1:8" ht="15.75" thickBot="1" x14ac:dyDescent="0.3">
      <c r="A38" s="567" t="s">
        <v>41</v>
      </c>
      <c r="B38" s="1383">
        <f>B28+B33</f>
        <v>1.5</v>
      </c>
      <c r="C38" s="1384"/>
      <c r="D38" s="1385"/>
      <c r="E38" s="1386"/>
      <c r="F38" s="1346"/>
      <c r="G38" s="1347"/>
    </row>
    <row r="39" spans="1:8" ht="25.5" customHeight="1" thickBot="1" x14ac:dyDescent="0.3">
      <c r="A39" s="320" t="s">
        <v>372</v>
      </c>
      <c r="B39" s="1371" t="s">
        <v>373</v>
      </c>
      <c r="C39" s="1372"/>
      <c r="D39" s="1371" t="s">
        <v>374</v>
      </c>
      <c r="E39" s="1372"/>
      <c r="F39" s="1371" t="s">
        <v>375</v>
      </c>
      <c r="G39" s="1372"/>
    </row>
    <row r="40" spans="1:8" ht="15.75" thickBot="1" x14ac:dyDescent="0.3">
      <c r="A40" s="568" t="s">
        <v>376</v>
      </c>
      <c r="B40" s="1342">
        <v>0.25</v>
      </c>
      <c r="C40" s="1343"/>
      <c r="D40" s="1342">
        <v>24</v>
      </c>
      <c r="E40" s="1343"/>
      <c r="F40" s="1373">
        <v>0.2</v>
      </c>
      <c r="G40" s="1374"/>
    </row>
    <row r="41" spans="1:8" ht="15.75" thickBot="1" x14ac:dyDescent="0.3">
      <c r="A41" s="568" t="s">
        <v>377</v>
      </c>
      <c r="B41" s="1342">
        <v>0.25</v>
      </c>
      <c r="C41" s="1343"/>
      <c r="D41" s="1342">
        <v>5</v>
      </c>
      <c r="E41" s="1343"/>
      <c r="F41" s="1373">
        <v>0.1</v>
      </c>
      <c r="G41" s="1374"/>
    </row>
    <row r="42" spans="1:8" ht="15.75" thickBot="1" x14ac:dyDescent="0.3">
      <c r="A42" s="567" t="s">
        <v>41</v>
      </c>
      <c r="B42" s="1383">
        <f>B40+B41</f>
        <v>0.5</v>
      </c>
      <c r="C42" s="1384"/>
      <c r="D42" s="1383">
        <f>D40+D41</f>
        <v>29</v>
      </c>
      <c r="E42" s="1384"/>
      <c r="F42" s="1383"/>
      <c r="G42" s="1384"/>
      <c r="H42" s="38">
        <f>G26-(B42+B38)</f>
        <v>-1.5</v>
      </c>
    </row>
    <row r="43" spans="1:8" ht="56.25" customHeight="1" thickBot="1" x14ac:dyDescent="0.3">
      <c r="A43" s="1371" t="s">
        <v>378</v>
      </c>
      <c r="B43" s="1388"/>
      <c r="C43" s="1388"/>
      <c r="D43" s="329" t="s">
        <v>46</v>
      </c>
      <c r="E43" s="329" t="s">
        <v>62</v>
      </c>
      <c r="F43" s="329" t="s">
        <v>39</v>
      </c>
      <c r="G43" s="329" t="s">
        <v>379</v>
      </c>
    </row>
    <row r="44" spans="1:8" ht="15.75" customHeight="1" thickBot="1" x14ac:dyDescent="0.3">
      <c r="A44" s="1380" t="s">
        <v>380</v>
      </c>
      <c r="B44" s="1381"/>
      <c r="C44" s="1381"/>
      <c r="D44" s="319"/>
      <c r="E44" s="569"/>
      <c r="F44" s="319"/>
      <c r="G44" s="570">
        <f>SUM(G45:G52)</f>
        <v>1680</v>
      </c>
    </row>
    <row r="45" spans="1:8" ht="15.75" thickBot="1" x14ac:dyDescent="0.3">
      <c r="A45" s="1376" t="str">
        <f>A29</f>
        <v>Frutales (palto entre  2 a 4 años)</v>
      </c>
      <c r="B45" s="1377"/>
      <c r="C45" s="1377"/>
      <c r="D45" s="571" t="s">
        <v>224</v>
      </c>
      <c r="E45" s="666"/>
      <c r="F45" s="572">
        <f>D29*F29</f>
        <v>0</v>
      </c>
      <c r="G45" s="572">
        <f>E45*F45</f>
        <v>0</v>
      </c>
    </row>
    <row r="46" spans="1:8" ht="15.75" thickBot="1" x14ac:dyDescent="0.3">
      <c r="A46" s="1376">
        <f>A30</f>
        <v>0</v>
      </c>
      <c r="B46" s="1377"/>
      <c r="C46" s="1377"/>
      <c r="D46" s="571"/>
      <c r="E46" s="571"/>
      <c r="F46" s="572">
        <f>D30*F30</f>
        <v>0</v>
      </c>
      <c r="G46" s="572">
        <f t="shared" ref="G46:G52" si="0">E46*F46</f>
        <v>0</v>
      </c>
    </row>
    <row r="47" spans="1:8" ht="15.75" thickBot="1" x14ac:dyDescent="0.3">
      <c r="A47" s="1376">
        <f>A31</f>
        <v>0</v>
      </c>
      <c r="B47" s="1377"/>
      <c r="C47" s="1377"/>
      <c r="D47" s="571"/>
      <c r="E47" s="571"/>
      <c r="F47" s="572">
        <f>D31*F31</f>
        <v>0</v>
      </c>
      <c r="G47" s="572">
        <f t="shared" si="0"/>
        <v>0</v>
      </c>
    </row>
    <row r="48" spans="1:8" ht="15.75" thickBot="1" x14ac:dyDescent="0.3">
      <c r="A48" s="1376">
        <f>A32</f>
        <v>0</v>
      </c>
      <c r="B48" s="1377"/>
      <c r="C48" s="1377"/>
      <c r="D48" s="571"/>
      <c r="E48" s="571"/>
      <c r="F48" s="572">
        <f>D32*F32</f>
        <v>0</v>
      </c>
      <c r="G48" s="572">
        <f t="shared" si="0"/>
        <v>0</v>
      </c>
    </row>
    <row r="49" spans="1:7" ht="15.75" thickBot="1" x14ac:dyDescent="0.3">
      <c r="A49" s="1376" t="str">
        <f>A34</f>
        <v>Menestras</v>
      </c>
      <c r="B49" s="1377"/>
      <c r="C49" s="1377"/>
      <c r="D49" s="571" t="s">
        <v>224</v>
      </c>
      <c r="E49" s="571">
        <v>3.5</v>
      </c>
      <c r="F49" s="572">
        <f>D34*F34</f>
        <v>480</v>
      </c>
      <c r="G49" s="572">
        <f t="shared" si="0"/>
        <v>1680</v>
      </c>
    </row>
    <row r="50" spans="1:7" ht="15.75" thickBot="1" x14ac:dyDescent="0.3">
      <c r="A50" s="1376">
        <f>A35</f>
        <v>0</v>
      </c>
      <c r="B50" s="1377"/>
      <c r="C50" s="1377"/>
      <c r="D50" s="571"/>
      <c r="E50" s="571"/>
      <c r="F50" s="572">
        <f>D35*F35</f>
        <v>0</v>
      </c>
      <c r="G50" s="572">
        <f t="shared" si="0"/>
        <v>0</v>
      </c>
    </row>
    <row r="51" spans="1:7" ht="15.75" thickBot="1" x14ac:dyDescent="0.3">
      <c r="A51" s="1376">
        <f>A36</f>
        <v>0</v>
      </c>
      <c r="B51" s="1377"/>
      <c r="C51" s="1377"/>
      <c r="D51" s="571"/>
      <c r="E51" s="571"/>
      <c r="F51" s="572">
        <f>D36*F36</f>
        <v>0</v>
      </c>
      <c r="G51" s="572">
        <f t="shared" si="0"/>
        <v>0</v>
      </c>
    </row>
    <row r="52" spans="1:7" ht="15.75" thickBot="1" x14ac:dyDescent="0.3">
      <c r="A52" s="1376">
        <f>A37</f>
        <v>0</v>
      </c>
      <c r="B52" s="1377"/>
      <c r="C52" s="1377"/>
      <c r="D52" s="571"/>
      <c r="E52" s="571"/>
      <c r="F52" s="572">
        <f>D37*F37</f>
        <v>0</v>
      </c>
      <c r="G52" s="572">
        <f t="shared" si="0"/>
        <v>0</v>
      </c>
    </row>
    <row r="53" spans="1:7" ht="15.75" thickBot="1" x14ac:dyDescent="0.3">
      <c r="A53" s="1380" t="s">
        <v>381</v>
      </c>
      <c r="B53" s="1381"/>
      <c r="C53" s="1381"/>
      <c r="D53" s="1381"/>
      <c r="E53" s="1382"/>
      <c r="F53" s="573"/>
      <c r="G53" s="574">
        <f>SUM(G54:G55)</f>
        <v>0</v>
      </c>
    </row>
    <row r="54" spans="1:7" ht="15.75" customHeight="1" thickBot="1" x14ac:dyDescent="0.3">
      <c r="A54" s="1376" t="str">
        <f>A40</f>
        <v>Animales menores</v>
      </c>
      <c r="B54" s="1377"/>
      <c r="C54" s="1377"/>
      <c r="D54" s="575" t="str">
        <f>D39</f>
        <v>N° cabezas</v>
      </c>
      <c r="E54" s="571"/>
      <c r="F54" s="572">
        <f>D40*F40</f>
        <v>4.8000000000000007</v>
      </c>
      <c r="G54" s="572">
        <f>E54*F54</f>
        <v>0</v>
      </c>
    </row>
    <row r="55" spans="1:7" ht="15.75" thickBot="1" x14ac:dyDescent="0.3">
      <c r="A55" s="1376" t="str">
        <f>A41</f>
        <v>Animales mayores</v>
      </c>
      <c r="B55" s="1377"/>
      <c r="C55" s="1377"/>
      <c r="D55" s="575" t="str">
        <f>D54</f>
        <v>N° cabezas</v>
      </c>
      <c r="E55" s="571"/>
      <c r="F55" s="572">
        <f>D41*F41</f>
        <v>0.5</v>
      </c>
      <c r="G55" s="572">
        <f>E55*F55</f>
        <v>0</v>
      </c>
    </row>
    <row r="56" spans="1:7" ht="15.75" thickBot="1" x14ac:dyDescent="0.3">
      <c r="A56" s="1380" t="s">
        <v>382</v>
      </c>
      <c r="B56" s="1381"/>
      <c r="C56" s="1381"/>
      <c r="D56" s="1381"/>
      <c r="E56" s="1382"/>
      <c r="F56" s="576"/>
      <c r="G56" s="570">
        <f>SUM(G57:G62)</f>
        <v>1200</v>
      </c>
    </row>
    <row r="57" spans="1:7" ht="15.75" thickBot="1" x14ac:dyDescent="0.3">
      <c r="A57" s="1376" t="s">
        <v>383</v>
      </c>
      <c r="B57" s="1377"/>
      <c r="C57" s="1377"/>
      <c r="D57" s="571"/>
      <c r="E57" s="571"/>
      <c r="F57" s="577"/>
      <c r="G57" s="572">
        <f t="shared" ref="G57:G62" si="1">E57*F57</f>
        <v>0</v>
      </c>
    </row>
    <row r="58" spans="1:7" ht="15.75" thickBot="1" x14ac:dyDescent="0.3">
      <c r="A58" s="1376" t="s">
        <v>409</v>
      </c>
      <c r="B58" s="1377"/>
      <c r="C58" s="1377"/>
      <c r="D58" s="571"/>
      <c r="E58" s="571"/>
      <c r="F58" s="577"/>
      <c r="G58" s="572">
        <f t="shared" si="1"/>
        <v>0</v>
      </c>
    </row>
    <row r="59" spans="1:7" ht="15.75" thickBot="1" x14ac:dyDescent="0.3">
      <c r="A59" s="1376" t="s">
        <v>384</v>
      </c>
      <c r="B59" s="1377"/>
      <c r="C59" s="1377"/>
      <c r="D59" s="572" t="s">
        <v>72</v>
      </c>
      <c r="E59" s="578"/>
      <c r="F59" s="572">
        <v>1</v>
      </c>
      <c r="G59" s="572">
        <f t="shared" si="1"/>
        <v>0</v>
      </c>
    </row>
    <row r="60" spans="1:7" ht="15.75" thickBot="1" x14ac:dyDescent="0.3">
      <c r="A60" s="1376" t="s">
        <v>385</v>
      </c>
      <c r="B60" s="1377"/>
      <c r="C60" s="1377"/>
      <c r="D60" s="572" t="s">
        <v>72</v>
      </c>
      <c r="E60" s="578"/>
      <c r="F60" s="572">
        <v>1</v>
      </c>
      <c r="G60" s="572">
        <f t="shared" si="1"/>
        <v>0</v>
      </c>
    </row>
    <row r="61" spans="1:7" ht="15.75" thickBot="1" x14ac:dyDescent="0.3">
      <c r="A61" s="1376" t="s">
        <v>386</v>
      </c>
      <c r="B61" s="1377"/>
      <c r="C61" s="1377"/>
      <c r="D61" s="572" t="s">
        <v>72</v>
      </c>
      <c r="E61" s="578">
        <v>1200</v>
      </c>
      <c r="F61" s="572">
        <v>1</v>
      </c>
      <c r="G61" s="572">
        <f t="shared" si="1"/>
        <v>1200</v>
      </c>
    </row>
    <row r="62" spans="1:7" ht="15.75" thickBot="1" x14ac:dyDescent="0.3">
      <c r="A62" s="1376" t="s">
        <v>387</v>
      </c>
      <c r="B62" s="1377"/>
      <c r="C62" s="1377"/>
      <c r="D62" s="572" t="s">
        <v>72</v>
      </c>
      <c r="E62" s="578"/>
      <c r="F62" s="572">
        <v>1</v>
      </c>
      <c r="G62" s="572">
        <f t="shared" si="1"/>
        <v>0</v>
      </c>
    </row>
    <row r="63" spans="1:7" ht="15.75" thickBot="1" x14ac:dyDescent="0.3">
      <c r="A63" s="1348" t="s">
        <v>388</v>
      </c>
      <c r="B63" s="1349"/>
      <c r="C63" s="1349"/>
      <c r="D63" s="1349"/>
      <c r="E63" s="1349"/>
      <c r="F63" s="1349"/>
      <c r="G63" s="579">
        <f>G44+G53+G56</f>
        <v>2880</v>
      </c>
    </row>
    <row r="64" spans="1:7" ht="15.75" customHeight="1" thickBot="1" x14ac:dyDescent="0.3">
      <c r="A64" s="1348" t="s">
        <v>389</v>
      </c>
      <c r="B64" s="1349"/>
      <c r="C64" s="1349"/>
      <c r="D64" s="1349"/>
      <c r="E64" s="1349"/>
      <c r="F64" s="1349"/>
      <c r="G64" s="579">
        <f>G63/12</f>
        <v>240</v>
      </c>
    </row>
    <row r="65" spans="1:7" x14ac:dyDescent="0.25">
      <c r="A65" s="603" t="s">
        <v>411</v>
      </c>
      <c r="B65" s="580"/>
      <c r="C65" s="580"/>
      <c r="D65" s="580"/>
      <c r="E65" s="580"/>
      <c r="F65" s="580"/>
      <c r="G65" s="580"/>
    </row>
    <row r="69" spans="1:7" x14ac:dyDescent="0.25">
      <c r="F69" s="41"/>
    </row>
  </sheetData>
  <sheetProtection algorithmName="SHA-512" hashValue="pq264y+934Y1UJnyYqkhdQxksdIhr79k8gHqNwbbahhKJHqHD5ryAKVF4PayDURz+mBKW2RKAtNtU3WxvJtzSA==" saltValue="PeXK+ddPiH/N6OR5XAd6Vw==" spinCount="100000" sheet="1" objects="1" scenarios="1" formatRows="0"/>
  <customSheetViews>
    <customSheetView guid="{2A80C2AF-315E-48B4-AB4B-22B0028E8CB4}">
      <selection activeCell="F58" sqref="F58"/>
      <pageMargins left="0.7" right="0.7" top="0.75" bottom="0.75" header="0.3" footer="0.3"/>
      <pageSetup paperSize="9" orientation="portrait" r:id="rId1"/>
    </customSheetView>
  </customSheetViews>
  <mergeCells count="107">
    <mergeCell ref="A57:C57"/>
    <mergeCell ref="A64:F64"/>
    <mergeCell ref="F30:G30"/>
    <mergeCell ref="F31:G31"/>
    <mergeCell ref="F32:G32"/>
    <mergeCell ref="F35:G35"/>
    <mergeCell ref="F36:G36"/>
    <mergeCell ref="F37:G37"/>
    <mergeCell ref="D30:E30"/>
    <mergeCell ref="B32:C32"/>
    <mergeCell ref="B35:C35"/>
    <mergeCell ref="A58:C58"/>
    <mergeCell ref="A46:C46"/>
    <mergeCell ref="A47:C47"/>
    <mergeCell ref="A48:C48"/>
    <mergeCell ref="A63:F63"/>
    <mergeCell ref="A59:C59"/>
    <mergeCell ref="A60:C60"/>
    <mergeCell ref="A61:C61"/>
    <mergeCell ref="A53:E53"/>
    <mergeCell ref="A62:C62"/>
    <mergeCell ref="D32:E32"/>
    <mergeCell ref="A43:C43"/>
    <mergeCell ref="A54:C54"/>
    <mergeCell ref="A55:C55"/>
    <mergeCell ref="A56:E56"/>
    <mergeCell ref="A45:C45"/>
    <mergeCell ref="A44:C44"/>
    <mergeCell ref="B41:C41"/>
    <mergeCell ref="D41:E41"/>
    <mergeCell ref="B28:C28"/>
    <mergeCell ref="D28:E28"/>
    <mergeCell ref="F28:G28"/>
    <mergeCell ref="A52:C52"/>
    <mergeCell ref="A49:C49"/>
    <mergeCell ref="A50:C50"/>
    <mergeCell ref="A51:C51"/>
    <mergeCell ref="B42:C42"/>
    <mergeCell ref="D42:E42"/>
    <mergeCell ref="B36:C36"/>
    <mergeCell ref="B34:C34"/>
    <mergeCell ref="D34:E34"/>
    <mergeCell ref="F41:G41"/>
    <mergeCell ref="B38:C38"/>
    <mergeCell ref="D38:E38"/>
    <mergeCell ref="F42:G42"/>
    <mergeCell ref="B39:C39"/>
    <mergeCell ref="D39:E39"/>
    <mergeCell ref="A1:G1"/>
    <mergeCell ref="B30:C30"/>
    <mergeCell ref="B31:C31"/>
    <mergeCell ref="D29:E29"/>
    <mergeCell ref="F29:G29"/>
    <mergeCell ref="A12:G12"/>
    <mergeCell ref="A13:B13"/>
    <mergeCell ref="A24:F24"/>
    <mergeCell ref="A25:F25"/>
    <mergeCell ref="A26:F26"/>
    <mergeCell ref="B27:C27"/>
    <mergeCell ref="D27:E27"/>
    <mergeCell ref="F27:G27"/>
    <mergeCell ref="A16:B16"/>
    <mergeCell ref="A20:F20"/>
    <mergeCell ref="A21:F21"/>
    <mergeCell ref="D31:E31"/>
    <mergeCell ref="A15:B15"/>
    <mergeCell ref="C15:D15"/>
    <mergeCell ref="E15:F15"/>
    <mergeCell ref="A4:G4"/>
    <mergeCell ref="A5:B5"/>
    <mergeCell ref="C5:D5"/>
    <mergeCell ref="E5:F5"/>
    <mergeCell ref="E9:F11"/>
    <mergeCell ref="G9:G11"/>
    <mergeCell ref="F39:G39"/>
    <mergeCell ref="B40:C40"/>
    <mergeCell ref="D40:E40"/>
    <mergeCell ref="F40:G40"/>
    <mergeCell ref="F34:G34"/>
    <mergeCell ref="B29:C29"/>
    <mergeCell ref="A22:F22"/>
    <mergeCell ref="A23:F23"/>
    <mergeCell ref="A14:G14"/>
    <mergeCell ref="C13:D13"/>
    <mergeCell ref="E13:F13"/>
    <mergeCell ref="A6:B6"/>
    <mergeCell ref="C6:D6"/>
    <mergeCell ref="E6:F6"/>
    <mergeCell ref="F38:G38"/>
    <mergeCell ref="B37:C37"/>
    <mergeCell ref="D35:E35"/>
    <mergeCell ref="D36:E36"/>
    <mergeCell ref="D37:E37"/>
    <mergeCell ref="C16:D16"/>
    <mergeCell ref="E16:F16"/>
    <mergeCell ref="A17:F17"/>
    <mergeCell ref="A18:F18"/>
    <mergeCell ref="A19:F19"/>
    <mergeCell ref="B33:C33"/>
    <mergeCell ref="D33:E33"/>
    <mergeCell ref="F33:G33"/>
    <mergeCell ref="A7:G7"/>
    <mergeCell ref="A8:B8"/>
    <mergeCell ref="C8:D8"/>
    <mergeCell ref="E8:F8"/>
    <mergeCell ref="A9:B11"/>
    <mergeCell ref="C9:D11"/>
  </mergeCells>
  <conditionalFormatting sqref="H42">
    <cfRule type="cellIs" dxfId="0" priority="1" stopIfTrue="1" operator="lessThan">
      <formula>$G$26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Carátula</vt:lpstr>
      <vt:lpstr>Inversiones</vt:lpstr>
      <vt:lpstr>Costo de Producción inicial</vt:lpstr>
      <vt:lpstr>Costo de Producción propuesto</vt:lpstr>
      <vt:lpstr> Plan de Negocio</vt:lpstr>
      <vt:lpstr>Canvas</vt:lpstr>
      <vt:lpstr>Linea Base Ingresos</vt:lpstr>
      <vt:lpstr>Inversiones!Print_Area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MARILIA</dc:creator>
  <cp:lastModifiedBy>JOSE LAOS</cp:lastModifiedBy>
  <cp:lastPrinted>2017-09-30T01:02:56Z</cp:lastPrinted>
  <dcterms:created xsi:type="dcterms:W3CDTF">2013-02-22T23:21:24Z</dcterms:created>
  <dcterms:modified xsi:type="dcterms:W3CDTF">2017-09-30T02:40:29Z</dcterms:modified>
</cp:coreProperties>
</file>